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IAL\20_Projekte\21_Aktuelle_Projekte\2023-01-BMBF-REKLINEU\60_Arbeitsordner\AP2 THG Bilanzierung\02_Vorlagen für Datenakquise\Datenbedarfsblätter\Muster\"/>
    </mc:Choice>
  </mc:AlternateContent>
  <xr:revisionPtr revIDLastSave="0" documentId="13_ncr:1_{D9C7FB1E-030B-433A-95BB-31CF9A4E0400}" xr6:coauthVersionLast="47" xr6:coauthVersionMax="47" xr10:uidLastSave="{00000000-0000-0000-0000-000000000000}"/>
  <bookViews>
    <workbookView xWindow="28680" yWindow="-120" windowWidth="29040" windowHeight="17520" xr2:uid="{00000000-000D-0000-FFFF-FFFF00000000}"/>
  </bookViews>
  <sheets>
    <sheet name="Auswertung" sheetId="13" r:id="rId1"/>
    <sheet name="Fakultät 1" sheetId="1" r:id="rId2"/>
    <sheet name="Fakultät 2" sheetId="2" r:id="rId3"/>
    <sheet name="Fakultät 3" sheetId="3" r:id="rId4"/>
    <sheet name="Fakultät 4" sheetId="4" r:id="rId5"/>
    <sheet name="Fakultät 5" sheetId="5" r:id="rId6"/>
    <sheet name="Fakultät 6" sheetId="6" r:id="rId7"/>
    <sheet name="Fakultät 7" sheetId="7" r:id="rId8"/>
    <sheet name="Fakultät 8" sheetId="8" r:id="rId9"/>
    <sheet name="Fakultät 9" sheetId="9" r:id="rId10"/>
    <sheet name="Fakultät 10" sheetId="10" r:id="rId11"/>
    <sheet name="Fakultät 11" sheetId="14" r:id="rId12"/>
    <sheet name="Hilfstabelle" sheetId="11" r:id="rId13"/>
  </sheets>
  <definedNames>
    <definedName name="_xlnm._FilterDatabase" localSheetId="12" hidden="1">Hilfstabelle!$A$1:$A$14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D15" i="13"/>
  <c r="E15" i="13"/>
  <c r="F15" i="13"/>
  <c r="D16" i="13"/>
  <c r="E16" i="13"/>
  <c r="F16" i="13"/>
  <c r="D17" i="13"/>
  <c r="E17" i="13"/>
  <c r="F17" i="13"/>
  <c r="D18" i="13"/>
  <c r="E18" i="13"/>
  <c r="F18" i="13"/>
  <c r="D19" i="13"/>
  <c r="E19" i="13"/>
  <c r="F19" i="13"/>
  <c r="C21" i="13"/>
  <c r="C20" i="13"/>
  <c r="C19" i="13"/>
  <c r="C18" i="13"/>
  <c r="C17" i="13"/>
  <c r="C16" i="13"/>
  <c r="C15" i="13"/>
  <c r="C14" i="13"/>
  <c r="C13" i="13"/>
  <c r="H35" i="4"/>
  <c r="H36" i="4"/>
  <c r="H37" i="4"/>
  <c r="H38" i="4"/>
  <c r="K35" i="4"/>
  <c r="K36" i="4"/>
  <c r="K37" i="4"/>
  <c r="K38" i="4"/>
  <c r="L35" i="4"/>
  <c r="L36" i="4"/>
  <c r="L37" i="4"/>
  <c r="L38" i="4"/>
  <c r="M35" i="4"/>
  <c r="M36" i="4"/>
  <c r="M37" i="4"/>
  <c r="M38" i="4"/>
  <c r="N35" i="4"/>
  <c r="N36" i="4"/>
  <c r="N37" i="4"/>
  <c r="N38" i="4"/>
  <c r="O35" i="4"/>
  <c r="O36" i="4"/>
  <c r="O37" i="4"/>
  <c r="O38" i="4"/>
  <c r="P35" i="4"/>
  <c r="P36" i="4"/>
  <c r="P37" i="4"/>
  <c r="P38" i="4"/>
  <c r="Q35" i="4"/>
  <c r="Q36" i="4"/>
  <c r="Q37" i="4"/>
  <c r="Q38" i="4"/>
  <c r="R35" i="4"/>
  <c r="R36" i="4"/>
  <c r="R37" i="4"/>
  <c r="R38" i="4"/>
  <c r="S35" i="4"/>
  <c r="S36" i="4"/>
  <c r="S37" i="4"/>
  <c r="S38" i="4"/>
  <c r="T35" i="4"/>
  <c r="T36" i="4"/>
  <c r="T37" i="4"/>
  <c r="T38" i="4"/>
  <c r="U35" i="4"/>
  <c r="U36" i="4"/>
  <c r="U37" i="4"/>
  <c r="U38" i="4"/>
  <c r="V35" i="4"/>
  <c r="V36" i="4"/>
  <c r="V37" i="4"/>
  <c r="V38" i="4"/>
  <c r="H24" i="14"/>
  <c r="H25" i="14"/>
  <c r="H26" i="14"/>
  <c r="H27" i="14"/>
  <c r="H28" i="14"/>
  <c r="H29" i="14"/>
  <c r="H30" i="14"/>
  <c r="H31" i="14"/>
  <c r="H32" i="14"/>
  <c r="H33" i="14"/>
  <c r="H34" i="14"/>
  <c r="H35" i="14"/>
  <c r="H36" i="14"/>
  <c r="H37" i="14"/>
  <c r="H38" i="14"/>
  <c r="H39" i="14"/>
  <c r="K24" i="14"/>
  <c r="K25" i="14"/>
  <c r="K26" i="14"/>
  <c r="K27" i="14"/>
  <c r="K28" i="14"/>
  <c r="K29" i="14"/>
  <c r="K30" i="14"/>
  <c r="K31" i="14"/>
  <c r="K32" i="14"/>
  <c r="K33" i="14"/>
  <c r="K34" i="14"/>
  <c r="K35" i="14"/>
  <c r="K36" i="14"/>
  <c r="K37" i="14"/>
  <c r="K38" i="14"/>
  <c r="K39" i="14"/>
  <c r="L24" i="14"/>
  <c r="L25" i="14"/>
  <c r="L26" i="14"/>
  <c r="L27" i="14"/>
  <c r="L28" i="14"/>
  <c r="L29" i="14"/>
  <c r="L30" i="14"/>
  <c r="L31" i="14"/>
  <c r="L32" i="14"/>
  <c r="L33" i="14"/>
  <c r="L34" i="14"/>
  <c r="L35" i="14"/>
  <c r="L36" i="14"/>
  <c r="L37" i="14"/>
  <c r="L38" i="14"/>
  <c r="L39" i="14"/>
  <c r="M24" i="14"/>
  <c r="M25" i="14"/>
  <c r="M26" i="14"/>
  <c r="M27" i="14"/>
  <c r="M28" i="14"/>
  <c r="M29" i="14"/>
  <c r="M30" i="14"/>
  <c r="M31" i="14"/>
  <c r="M32" i="14"/>
  <c r="M33" i="14"/>
  <c r="M34" i="14"/>
  <c r="M35" i="14"/>
  <c r="M36" i="14"/>
  <c r="M37" i="14"/>
  <c r="M38" i="14"/>
  <c r="M39" i="14"/>
  <c r="N24" i="14"/>
  <c r="N25" i="14"/>
  <c r="N26" i="14"/>
  <c r="N27" i="14"/>
  <c r="N28" i="14"/>
  <c r="N29" i="14"/>
  <c r="N30" i="14"/>
  <c r="N31" i="14"/>
  <c r="N32" i="14"/>
  <c r="N33" i="14"/>
  <c r="N34" i="14"/>
  <c r="N35" i="14"/>
  <c r="N36" i="14"/>
  <c r="N37" i="14"/>
  <c r="N38" i="14"/>
  <c r="N39" i="14"/>
  <c r="O24" i="14"/>
  <c r="O25" i="14"/>
  <c r="O26" i="14"/>
  <c r="O27" i="14"/>
  <c r="O28" i="14"/>
  <c r="O29" i="14"/>
  <c r="O30" i="14"/>
  <c r="O31" i="14"/>
  <c r="O32" i="14"/>
  <c r="O33" i="14"/>
  <c r="O34" i="14"/>
  <c r="O35" i="14"/>
  <c r="O36" i="14"/>
  <c r="O37" i="14"/>
  <c r="O38" i="14"/>
  <c r="O39" i="14"/>
  <c r="P24" i="14"/>
  <c r="P25" i="14"/>
  <c r="P26" i="14"/>
  <c r="P27" i="14"/>
  <c r="P28" i="14"/>
  <c r="P29" i="14"/>
  <c r="P30" i="14"/>
  <c r="P31" i="14"/>
  <c r="P32" i="14"/>
  <c r="P33" i="14"/>
  <c r="P34" i="14"/>
  <c r="P35" i="14"/>
  <c r="P36" i="14"/>
  <c r="P37" i="14"/>
  <c r="P38" i="14"/>
  <c r="P39" i="14"/>
  <c r="Q24" i="14"/>
  <c r="Q25" i="14"/>
  <c r="Q26" i="14"/>
  <c r="Q27" i="14"/>
  <c r="Q28" i="14"/>
  <c r="Q29" i="14"/>
  <c r="Q30" i="14"/>
  <c r="Q31" i="14"/>
  <c r="Q32" i="14"/>
  <c r="Q33" i="14"/>
  <c r="Q34" i="14"/>
  <c r="Q35" i="14"/>
  <c r="Q36" i="14"/>
  <c r="Q37" i="14"/>
  <c r="Q38" i="14"/>
  <c r="Q39" i="14"/>
  <c r="R24" i="14"/>
  <c r="R25" i="14"/>
  <c r="R26" i="14"/>
  <c r="R27" i="14"/>
  <c r="R28" i="14"/>
  <c r="R29" i="14"/>
  <c r="R30" i="14"/>
  <c r="R31" i="14"/>
  <c r="R32" i="14"/>
  <c r="R33" i="14"/>
  <c r="R34" i="14"/>
  <c r="R35" i="14"/>
  <c r="R36" i="14"/>
  <c r="R37" i="14"/>
  <c r="R38" i="14"/>
  <c r="R39" i="14"/>
  <c r="S24" i="14"/>
  <c r="S25" i="14"/>
  <c r="S26" i="14"/>
  <c r="S27" i="14"/>
  <c r="S28" i="14"/>
  <c r="S29" i="14"/>
  <c r="S30" i="14"/>
  <c r="S31" i="14"/>
  <c r="S32" i="14"/>
  <c r="S33" i="14"/>
  <c r="S34" i="14"/>
  <c r="S35" i="14"/>
  <c r="S36" i="14"/>
  <c r="S37" i="14"/>
  <c r="S38" i="14"/>
  <c r="S39" i="14"/>
  <c r="T24" i="14"/>
  <c r="T25" i="14"/>
  <c r="T26" i="14"/>
  <c r="T27" i="14"/>
  <c r="T28" i="14"/>
  <c r="T29" i="14"/>
  <c r="T30" i="14"/>
  <c r="T31" i="14"/>
  <c r="T32" i="14"/>
  <c r="T33" i="14"/>
  <c r="T34" i="14"/>
  <c r="T35" i="14"/>
  <c r="T36" i="14"/>
  <c r="T37" i="14"/>
  <c r="T38" i="14"/>
  <c r="T39" i="14"/>
  <c r="U24" i="14"/>
  <c r="U25" i="14"/>
  <c r="U26" i="14"/>
  <c r="U27" i="14"/>
  <c r="U28" i="14"/>
  <c r="U29" i="14"/>
  <c r="U30" i="14"/>
  <c r="U31" i="14"/>
  <c r="U32" i="14"/>
  <c r="U33" i="14"/>
  <c r="U34" i="14"/>
  <c r="U35" i="14"/>
  <c r="U36" i="14"/>
  <c r="U37" i="14"/>
  <c r="U38" i="14"/>
  <c r="U39" i="14"/>
  <c r="V24" i="14"/>
  <c r="V25" i="14"/>
  <c r="V26" i="14"/>
  <c r="V27" i="14"/>
  <c r="V28" i="14"/>
  <c r="V29" i="14"/>
  <c r="V30" i="14"/>
  <c r="V31" i="14"/>
  <c r="V32" i="14"/>
  <c r="V33" i="14"/>
  <c r="V34" i="14"/>
  <c r="V35" i="14"/>
  <c r="V36" i="14"/>
  <c r="V37" i="14"/>
  <c r="V38" i="14"/>
  <c r="V39" i="14"/>
  <c r="H23" i="10"/>
  <c r="H24" i="10"/>
  <c r="H25" i="10"/>
  <c r="H26" i="10"/>
  <c r="H27" i="10"/>
  <c r="H28" i="10"/>
  <c r="H29" i="10"/>
  <c r="H30" i="10"/>
  <c r="H31" i="10"/>
  <c r="H32" i="10"/>
  <c r="H33" i="10"/>
  <c r="H34" i="10"/>
  <c r="H35" i="10"/>
  <c r="H36" i="10"/>
  <c r="H37" i="10"/>
  <c r="H38" i="10"/>
  <c r="K23" i="10"/>
  <c r="K24" i="10"/>
  <c r="K25" i="10"/>
  <c r="K26" i="10"/>
  <c r="K27" i="10"/>
  <c r="K28" i="10"/>
  <c r="K29" i="10"/>
  <c r="K30" i="10"/>
  <c r="K31" i="10"/>
  <c r="K32" i="10"/>
  <c r="K33" i="10"/>
  <c r="K34" i="10"/>
  <c r="K35" i="10"/>
  <c r="K36" i="10"/>
  <c r="K37" i="10"/>
  <c r="K38" i="10"/>
  <c r="L23" i="10"/>
  <c r="L24" i="10"/>
  <c r="L25" i="10"/>
  <c r="L26" i="10"/>
  <c r="L27" i="10"/>
  <c r="L28" i="10"/>
  <c r="L29" i="10"/>
  <c r="L30" i="10"/>
  <c r="L31" i="10"/>
  <c r="L32" i="10"/>
  <c r="L33" i="10"/>
  <c r="L34" i="10"/>
  <c r="L35" i="10"/>
  <c r="L36" i="10"/>
  <c r="L37" i="10"/>
  <c r="L38" i="10"/>
  <c r="M23" i="10"/>
  <c r="M24" i="10"/>
  <c r="M25" i="10"/>
  <c r="M26" i="10"/>
  <c r="M27" i="10"/>
  <c r="M28" i="10"/>
  <c r="M29" i="10"/>
  <c r="M30" i="10"/>
  <c r="M31" i="10"/>
  <c r="M32" i="10"/>
  <c r="M33" i="10"/>
  <c r="M34" i="10"/>
  <c r="M35" i="10"/>
  <c r="M36" i="10"/>
  <c r="M37" i="10"/>
  <c r="M38" i="10"/>
  <c r="N23" i="10"/>
  <c r="N24" i="10"/>
  <c r="N25" i="10"/>
  <c r="N26" i="10"/>
  <c r="N27" i="10"/>
  <c r="N28" i="10"/>
  <c r="N29" i="10"/>
  <c r="N30" i="10"/>
  <c r="N31" i="10"/>
  <c r="N32" i="10"/>
  <c r="N33" i="10"/>
  <c r="N34" i="10"/>
  <c r="N35" i="10"/>
  <c r="N36" i="10"/>
  <c r="N37" i="10"/>
  <c r="N38" i="10"/>
  <c r="O23" i="10"/>
  <c r="O24" i="10"/>
  <c r="O25" i="10"/>
  <c r="O26" i="10"/>
  <c r="O27" i="10"/>
  <c r="O28" i="10"/>
  <c r="O29" i="10"/>
  <c r="O30" i="10"/>
  <c r="O31" i="10"/>
  <c r="O32" i="10"/>
  <c r="O33" i="10"/>
  <c r="O34" i="10"/>
  <c r="O35" i="10"/>
  <c r="O36" i="10"/>
  <c r="O37" i="10"/>
  <c r="O38" i="10"/>
  <c r="P23" i="10"/>
  <c r="P24" i="10"/>
  <c r="P25" i="10"/>
  <c r="P26" i="10"/>
  <c r="P27" i="10"/>
  <c r="P28" i="10"/>
  <c r="P29" i="10"/>
  <c r="P30" i="10"/>
  <c r="P31" i="10"/>
  <c r="P32" i="10"/>
  <c r="P33" i="10"/>
  <c r="P34" i="10"/>
  <c r="P35" i="10"/>
  <c r="P36" i="10"/>
  <c r="P37" i="10"/>
  <c r="P38" i="10"/>
  <c r="Q23" i="10"/>
  <c r="Q24" i="10"/>
  <c r="Q25" i="10"/>
  <c r="Q26" i="10"/>
  <c r="Q27" i="10"/>
  <c r="Q28" i="10"/>
  <c r="Q29" i="10"/>
  <c r="Q30" i="10"/>
  <c r="Q31" i="10"/>
  <c r="Q32" i="10"/>
  <c r="Q33" i="10"/>
  <c r="Q34" i="10"/>
  <c r="Q35" i="10"/>
  <c r="Q36" i="10"/>
  <c r="Q37" i="10"/>
  <c r="Q38" i="10"/>
  <c r="R23" i="10"/>
  <c r="R24" i="10"/>
  <c r="R25" i="10"/>
  <c r="R26" i="10"/>
  <c r="R27" i="10"/>
  <c r="R28" i="10"/>
  <c r="R29" i="10"/>
  <c r="R30" i="10"/>
  <c r="R31" i="10"/>
  <c r="R32" i="10"/>
  <c r="R33" i="10"/>
  <c r="R34" i="10"/>
  <c r="R35" i="10"/>
  <c r="R36" i="10"/>
  <c r="R37" i="10"/>
  <c r="R38" i="10"/>
  <c r="S23" i="10"/>
  <c r="S24" i="10"/>
  <c r="S25" i="10"/>
  <c r="S26" i="10"/>
  <c r="S27" i="10"/>
  <c r="S28" i="10"/>
  <c r="S29" i="10"/>
  <c r="S30" i="10"/>
  <c r="S31" i="10"/>
  <c r="S32" i="10"/>
  <c r="S33" i="10"/>
  <c r="S34" i="10"/>
  <c r="S35" i="10"/>
  <c r="S36" i="10"/>
  <c r="S37" i="10"/>
  <c r="S38" i="10"/>
  <c r="T23" i="10"/>
  <c r="T24" i="10"/>
  <c r="T25" i="10"/>
  <c r="T26" i="10"/>
  <c r="T27" i="10"/>
  <c r="T28" i="10"/>
  <c r="T29" i="10"/>
  <c r="T30" i="10"/>
  <c r="T31" i="10"/>
  <c r="T32" i="10"/>
  <c r="T33" i="10"/>
  <c r="T34" i="10"/>
  <c r="T35" i="10"/>
  <c r="T36" i="10"/>
  <c r="T37" i="10"/>
  <c r="T38" i="10"/>
  <c r="U23" i="10"/>
  <c r="U24" i="10"/>
  <c r="U25" i="10"/>
  <c r="U26" i="10"/>
  <c r="U27" i="10"/>
  <c r="U28" i="10"/>
  <c r="U29" i="10"/>
  <c r="U30" i="10"/>
  <c r="U31" i="10"/>
  <c r="U32" i="10"/>
  <c r="U33" i="10"/>
  <c r="U34" i="10"/>
  <c r="U35" i="10"/>
  <c r="U36" i="10"/>
  <c r="U37" i="10"/>
  <c r="U38" i="10"/>
  <c r="V23" i="10"/>
  <c r="V24" i="10"/>
  <c r="V25" i="10"/>
  <c r="V26" i="10"/>
  <c r="V27" i="10"/>
  <c r="V28" i="10"/>
  <c r="V29" i="10"/>
  <c r="V30" i="10"/>
  <c r="V31" i="10"/>
  <c r="V32" i="10"/>
  <c r="V33" i="10"/>
  <c r="V34" i="10"/>
  <c r="V35" i="10"/>
  <c r="V36" i="10"/>
  <c r="V37" i="10"/>
  <c r="V38" i="10"/>
  <c r="H24" i="9"/>
  <c r="H25" i="9"/>
  <c r="H26" i="9"/>
  <c r="H27" i="9"/>
  <c r="H28" i="9"/>
  <c r="H29" i="9"/>
  <c r="H30" i="9"/>
  <c r="H31" i="9"/>
  <c r="H32" i="9"/>
  <c r="H33" i="9"/>
  <c r="H34" i="9"/>
  <c r="H35" i="9"/>
  <c r="H36" i="9"/>
  <c r="H37" i="9"/>
  <c r="K24" i="9"/>
  <c r="K25" i="9"/>
  <c r="K26" i="9"/>
  <c r="K27" i="9"/>
  <c r="K28" i="9"/>
  <c r="K29" i="9"/>
  <c r="K30" i="9"/>
  <c r="K31" i="9"/>
  <c r="K32" i="9"/>
  <c r="K33" i="9"/>
  <c r="K34" i="9"/>
  <c r="K35" i="9"/>
  <c r="K36" i="9"/>
  <c r="K37" i="9"/>
  <c r="L24" i="9"/>
  <c r="L25" i="9"/>
  <c r="L26" i="9"/>
  <c r="L27" i="9"/>
  <c r="L28" i="9"/>
  <c r="L29" i="9"/>
  <c r="L30" i="9"/>
  <c r="L31" i="9"/>
  <c r="L32" i="9"/>
  <c r="L33" i="9"/>
  <c r="L34" i="9"/>
  <c r="L35" i="9"/>
  <c r="L36" i="9"/>
  <c r="L37" i="9"/>
  <c r="M24" i="9"/>
  <c r="M25" i="9"/>
  <c r="M26" i="9"/>
  <c r="M27" i="9"/>
  <c r="M28" i="9"/>
  <c r="M29" i="9"/>
  <c r="M30" i="9"/>
  <c r="M31" i="9"/>
  <c r="M32" i="9"/>
  <c r="M33" i="9"/>
  <c r="M34" i="9"/>
  <c r="M35" i="9"/>
  <c r="M36" i="9"/>
  <c r="M37" i="9"/>
  <c r="N24" i="9"/>
  <c r="N25" i="9"/>
  <c r="N26" i="9"/>
  <c r="N27" i="9"/>
  <c r="N28" i="9"/>
  <c r="N29" i="9"/>
  <c r="N30" i="9"/>
  <c r="N31" i="9"/>
  <c r="N32" i="9"/>
  <c r="N33" i="9"/>
  <c r="N34" i="9"/>
  <c r="N35" i="9"/>
  <c r="N36" i="9"/>
  <c r="N37" i="9"/>
  <c r="O24" i="9"/>
  <c r="O25" i="9"/>
  <c r="O26" i="9"/>
  <c r="O27" i="9"/>
  <c r="O28" i="9"/>
  <c r="O29" i="9"/>
  <c r="O30" i="9"/>
  <c r="O31" i="9"/>
  <c r="O32" i="9"/>
  <c r="O33" i="9"/>
  <c r="O34" i="9"/>
  <c r="O35" i="9"/>
  <c r="O36" i="9"/>
  <c r="O37" i="9"/>
  <c r="P24" i="9"/>
  <c r="P25" i="9"/>
  <c r="P26" i="9"/>
  <c r="P27" i="9"/>
  <c r="P28" i="9"/>
  <c r="P29" i="9"/>
  <c r="P30" i="9"/>
  <c r="P31" i="9"/>
  <c r="P32" i="9"/>
  <c r="P33" i="9"/>
  <c r="P34" i="9"/>
  <c r="P35" i="9"/>
  <c r="P36" i="9"/>
  <c r="P37" i="9"/>
  <c r="Q24" i="9"/>
  <c r="Q25" i="9"/>
  <c r="Q26" i="9"/>
  <c r="Q27" i="9"/>
  <c r="Q28" i="9"/>
  <c r="Q29" i="9"/>
  <c r="Q30" i="9"/>
  <c r="Q31" i="9"/>
  <c r="Q32" i="9"/>
  <c r="Q33" i="9"/>
  <c r="Q34" i="9"/>
  <c r="Q35" i="9"/>
  <c r="Q36" i="9"/>
  <c r="Q37" i="9"/>
  <c r="R24" i="9"/>
  <c r="R25" i="9"/>
  <c r="R26" i="9"/>
  <c r="R27" i="9"/>
  <c r="R28" i="9"/>
  <c r="R29" i="9"/>
  <c r="R30" i="9"/>
  <c r="R31" i="9"/>
  <c r="R32" i="9"/>
  <c r="R33" i="9"/>
  <c r="R34" i="9"/>
  <c r="R35" i="9"/>
  <c r="R36" i="9"/>
  <c r="R37" i="9"/>
  <c r="S24" i="9"/>
  <c r="S25" i="9"/>
  <c r="S26" i="9"/>
  <c r="S27" i="9"/>
  <c r="S28" i="9"/>
  <c r="S29" i="9"/>
  <c r="S30" i="9"/>
  <c r="S31" i="9"/>
  <c r="S32" i="9"/>
  <c r="S33" i="9"/>
  <c r="S34" i="9"/>
  <c r="S35" i="9"/>
  <c r="S36" i="9"/>
  <c r="S37" i="9"/>
  <c r="T24" i="9"/>
  <c r="T25" i="9"/>
  <c r="T26" i="9"/>
  <c r="T27" i="9"/>
  <c r="T28" i="9"/>
  <c r="T29" i="9"/>
  <c r="T30" i="9"/>
  <c r="T31" i="9"/>
  <c r="T32" i="9"/>
  <c r="T33" i="9"/>
  <c r="T34" i="9"/>
  <c r="T35" i="9"/>
  <c r="T36" i="9"/>
  <c r="T37" i="9"/>
  <c r="U24" i="9"/>
  <c r="U25" i="9"/>
  <c r="U26" i="9"/>
  <c r="U27" i="9"/>
  <c r="U28" i="9"/>
  <c r="U29" i="9"/>
  <c r="U30" i="9"/>
  <c r="U31" i="9"/>
  <c r="U32" i="9"/>
  <c r="U33" i="9"/>
  <c r="U34" i="9"/>
  <c r="U35" i="9"/>
  <c r="U36" i="9"/>
  <c r="U37" i="9"/>
  <c r="V24" i="9"/>
  <c r="V25" i="9"/>
  <c r="V26" i="9"/>
  <c r="V27" i="9"/>
  <c r="V28" i="9"/>
  <c r="V29" i="9"/>
  <c r="V30" i="9"/>
  <c r="V31" i="9"/>
  <c r="V32" i="9"/>
  <c r="V33" i="9"/>
  <c r="V34" i="9"/>
  <c r="V35" i="9"/>
  <c r="V36" i="9"/>
  <c r="V37" i="9"/>
  <c r="H28" i="7"/>
  <c r="H29" i="7"/>
  <c r="H30" i="7"/>
  <c r="H31" i="7"/>
  <c r="H32" i="7"/>
  <c r="H33" i="7"/>
  <c r="H34" i="7"/>
  <c r="H35" i="7"/>
  <c r="H36" i="7"/>
  <c r="H37" i="7"/>
  <c r="H38" i="7"/>
  <c r="K28" i="7"/>
  <c r="K29" i="7"/>
  <c r="K30" i="7"/>
  <c r="K31" i="7"/>
  <c r="K32" i="7"/>
  <c r="K33" i="7"/>
  <c r="K34" i="7"/>
  <c r="K35" i="7"/>
  <c r="K36" i="7"/>
  <c r="K37" i="7"/>
  <c r="K38" i="7"/>
  <c r="L28" i="7"/>
  <c r="L29" i="7"/>
  <c r="L30" i="7"/>
  <c r="L31" i="7"/>
  <c r="L32" i="7"/>
  <c r="L33" i="7"/>
  <c r="L34" i="7"/>
  <c r="L35" i="7"/>
  <c r="L36" i="7"/>
  <c r="L37" i="7"/>
  <c r="L38" i="7"/>
  <c r="M28" i="7"/>
  <c r="M29" i="7"/>
  <c r="M30" i="7"/>
  <c r="M31" i="7"/>
  <c r="M32" i="7"/>
  <c r="M33" i="7"/>
  <c r="M34" i="7"/>
  <c r="M35" i="7"/>
  <c r="M36" i="7"/>
  <c r="M37" i="7"/>
  <c r="M38" i="7"/>
  <c r="N28" i="7"/>
  <c r="N29" i="7"/>
  <c r="N30" i="7"/>
  <c r="N31" i="7"/>
  <c r="N32" i="7"/>
  <c r="N33" i="7"/>
  <c r="N34" i="7"/>
  <c r="N35" i="7"/>
  <c r="N36" i="7"/>
  <c r="N37" i="7"/>
  <c r="N38" i="7"/>
  <c r="O28" i="7"/>
  <c r="O29" i="7"/>
  <c r="O30" i="7"/>
  <c r="O31" i="7"/>
  <c r="O32" i="7"/>
  <c r="O33" i="7"/>
  <c r="O34" i="7"/>
  <c r="O35" i="7"/>
  <c r="O36" i="7"/>
  <c r="O37" i="7"/>
  <c r="O38" i="7"/>
  <c r="P28" i="7"/>
  <c r="P29" i="7"/>
  <c r="P30" i="7"/>
  <c r="P31" i="7"/>
  <c r="P32" i="7"/>
  <c r="P33" i="7"/>
  <c r="P34" i="7"/>
  <c r="P35" i="7"/>
  <c r="P36" i="7"/>
  <c r="P37" i="7"/>
  <c r="P38" i="7"/>
  <c r="Q28" i="7"/>
  <c r="Q29" i="7"/>
  <c r="Q30" i="7"/>
  <c r="Q31" i="7"/>
  <c r="Q32" i="7"/>
  <c r="Q33" i="7"/>
  <c r="Q34" i="7"/>
  <c r="Q35" i="7"/>
  <c r="Q36" i="7"/>
  <c r="Q37" i="7"/>
  <c r="Q38" i="7"/>
  <c r="R28" i="7"/>
  <c r="R29" i="7"/>
  <c r="R30" i="7"/>
  <c r="R31" i="7"/>
  <c r="R32" i="7"/>
  <c r="R33" i="7"/>
  <c r="R34" i="7"/>
  <c r="R35" i="7"/>
  <c r="R36" i="7"/>
  <c r="R37" i="7"/>
  <c r="R38" i="7"/>
  <c r="S28" i="7"/>
  <c r="S29" i="7"/>
  <c r="S30" i="7"/>
  <c r="S31" i="7"/>
  <c r="S32" i="7"/>
  <c r="S33" i="7"/>
  <c r="S34" i="7"/>
  <c r="S35" i="7"/>
  <c r="S36" i="7"/>
  <c r="S37" i="7"/>
  <c r="S38" i="7"/>
  <c r="T28" i="7"/>
  <c r="T29" i="7"/>
  <c r="T30" i="7"/>
  <c r="T31" i="7"/>
  <c r="T32" i="7"/>
  <c r="T33" i="7"/>
  <c r="T34" i="7"/>
  <c r="T35" i="7"/>
  <c r="T36" i="7"/>
  <c r="T37" i="7"/>
  <c r="T38" i="7"/>
  <c r="U28" i="7"/>
  <c r="U29" i="7"/>
  <c r="U30" i="7"/>
  <c r="U31" i="7"/>
  <c r="U32" i="7"/>
  <c r="U33" i="7"/>
  <c r="U34" i="7"/>
  <c r="U35" i="7"/>
  <c r="U36" i="7"/>
  <c r="U37" i="7"/>
  <c r="U38" i="7"/>
  <c r="V28" i="7"/>
  <c r="V29" i="7"/>
  <c r="V30" i="7"/>
  <c r="V31" i="7"/>
  <c r="V32" i="7"/>
  <c r="V33" i="7"/>
  <c r="V34" i="7"/>
  <c r="V35" i="7"/>
  <c r="V36" i="7"/>
  <c r="V37" i="7"/>
  <c r="V38" i="7"/>
  <c r="H32" i="5"/>
  <c r="H33" i="5"/>
  <c r="H34" i="5"/>
  <c r="H35" i="5"/>
  <c r="H36" i="5"/>
  <c r="H37" i="5"/>
  <c r="H38" i="5"/>
  <c r="H39" i="5"/>
  <c r="K32" i="5"/>
  <c r="K33" i="5"/>
  <c r="K34" i="5"/>
  <c r="K35" i="5"/>
  <c r="K36" i="5"/>
  <c r="K37" i="5"/>
  <c r="K38" i="5"/>
  <c r="K39" i="5"/>
  <c r="L32" i="5"/>
  <c r="L33" i="5"/>
  <c r="L34" i="5"/>
  <c r="L35" i="5"/>
  <c r="L36" i="5"/>
  <c r="L37" i="5"/>
  <c r="L38" i="5"/>
  <c r="L39" i="5"/>
  <c r="M32" i="5"/>
  <c r="M33" i="5"/>
  <c r="M34" i="5"/>
  <c r="M35" i="5"/>
  <c r="M36" i="5"/>
  <c r="M37" i="5"/>
  <c r="M38" i="5"/>
  <c r="M39" i="5"/>
  <c r="N32" i="5"/>
  <c r="N33" i="5"/>
  <c r="N34" i="5"/>
  <c r="N35" i="5"/>
  <c r="N36" i="5"/>
  <c r="N37" i="5"/>
  <c r="N38" i="5"/>
  <c r="N39" i="5"/>
  <c r="O32" i="5"/>
  <c r="O33" i="5"/>
  <c r="O34" i="5"/>
  <c r="O35" i="5"/>
  <c r="O36" i="5"/>
  <c r="O37" i="5"/>
  <c r="O38" i="5"/>
  <c r="O39" i="5"/>
  <c r="P32" i="5"/>
  <c r="P33" i="5"/>
  <c r="P34" i="5"/>
  <c r="P35" i="5"/>
  <c r="P36" i="5"/>
  <c r="P37" i="5"/>
  <c r="P38" i="5"/>
  <c r="P39" i="5"/>
  <c r="Q32" i="5"/>
  <c r="Q33" i="5"/>
  <c r="Q34" i="5"/>
  <c r="Q35" i="5"/>
  <c r="Q36" i="5"/>
  <c r="Q37" i="5"/>
  <c r="Q38" i="5"/>
  <c r="Q39" i="5"/>
  <c r="R32" i="5"/>
  <c r="R33" i="5"/>
  <c r="R34" i="5"/>
  <c r="R35" i="5"/>
  <c r="R36" i="5"/>
  <c r="R37" i="5"/>
  <c r="R38" i="5"/>
  <c r="R39" i="5"/>
  <c r="S32" i="5"/>
  <c r="S33" i="5"/>
  <c r="S34" i="5"/>
  <c r="S35" i="5"/>
  <c r="S36" i="5"/>
  <c r="S37" i="5"/>
  <c r="S38" i="5"/>
  <c r="S39" i="5"/>
  <c r="T32" i="5"/>
  <c r="T33" i="5"/>
  <c r="T34" i="5"/>
  <c r="T35" i="5"/>
  <c r="T36" i="5"/>
  <c r="T37" i="5"/>
  <c r="T38" i="5"/>
  <c r="T39" i="5"/>
  <c r="U32" i="5"/>
  <c r="U33" i="5"/>
  <c r="U34" i="5"/>
  <c r="U35" i="5"/>
  <c r="U36" i="5"/>
  <c r="U37" i="5"/>
  <c r="U38" i="5"/>
  <c r="U39" i="5"/>
  <c r="V32" i="5"/>
  <c r="V33" i="5"/>
  <c r="V34" i="5"/>
  <c r="V35" i="5"/>
  <c r="V36" i="5"/>
  <c r="V37" i="5"/>
  <c r="V38" i="5"/>
  <c r="V39" i="5"/>
  <c r="H23" i="1"/>
  <c r="H24" i="1"/>
  <c r="H25" i="1"/>
  <c r="H26" i="1"/>
  <c r="H27" i="1"/>
  <c r="H28" i="1"/>
  <c r="K23" i="1"/>
  <c r="K24" i="1"/>
  <c r="K25" i="1"/>
  <c r="K26" i="1"/>
  <c r="K27" i="1"/>
  <c r="K28" i="1"/>
  <c r="L23" i="1"/>
  <c r="L24" i="1"/>
  <c r="L25" i="1"/>
  <c r="L26" i="1"/>
  <c r="L27" i="1"/>
  <c r="L28" i="1"/>
  <c r="M23" i="1"/>
  <c r="M24" i="1"/>
  <c r="M25" i="1"/>
  <c r="M26" i="1"/>
  <c r="M27" i="1"/>
  <c r="M28" i="1"/>
  <c r="N23" i="1"/>
  <c r="N24" i="1"/>
  <c r="N25" i="1"/>
  <c r="N26" i="1"/>
  <c r="N27" i="1"/>
  <c r="N28" i="1"/>
  <c r="O23" i="1"/>
  <c r="O24" i="1"/>
  <c r="O25" i="1"/>
  <c r="O26" i="1"/>
  <c r="O27" i="1"/>
  <c r="O28" i="1"/>
  <c r="P23" i="1"/>
  <c r="P24" i="1"/>
  <c r="P25" i="1"/>
  <c r="P26" i="1"/>
  <c r="P27" i="1"/>
  <c r="P28" i="1"/>
  <c r="Q23" i="1"/>
  <c r="Q24" i="1"/>
  <c r="Q25" i="1"/>
  <c r="Q26" i="1"/>
  <c r="Q27" i="1"/>
  <c r="Q28" i="1"/>
  <c r="R23" i="1"/>
  <c r="R24" i="1"/>
  <c r="R25" i="1"/>
  <c r="R26" i="1"/>
  <c r="R27" i="1"/>
  <c r="R28" i="1"/>
  <c r="S23" i="1"/>
  <c r="S24" i="1"/>
  <c r="S25" i="1"/>
  <c r="S26" i="1"/>
  <c r="S27" i="1"/>
  <c r="S28" i="1"/>
  <c r="T23" i="1"/>
  <c r="T24" i="1"/>
  <c r="T25" i="1"/>
  <c r="T26" i="1"/>
  <c r="T27" i="1"/>
  <c r="T28" i="1"/>
  <c r="U23" i="1"/>
  <c r="U24" i="1"/>
  <c r="U25" i="1"/>
  <c r="U26" i="1"/>
  <c r="U27" i="1"/>
  <c r="U28" i="1"/>
  <c r="V23" i="1"/>
  <c r="V24" i="1"/>
  <c r="V25" i="1"/>
  <c r="V26" i="1"/>
  <c r="V27" i="1"/>
  <c r="V28" i="1"/>
  <c r="H29" i="2"/>
  <c r="H30" i="2"/>
  <c r="H31" i="2"/>
  <c r="H32" i="2"/>
  <c r="H33" i="2"/>
  <c r="H34" i="2"/>
  <c r="H35" i="2"/>
  <c r="H36" i="2"/>
  <c r="H37" i="2"/>
  <c r="H38" i="2"/>
  <c r="H39" i="2"/>
  <c r="K29" i="2"/>
  <c r="K30" i="2"/>
  <c r="K31" i="2"/>
  <c r="K32" i="2"/>
  <c r="K33" i="2"/>
  <c r="K34" i="2"/>
  <c r="K35" i="2"/>
  <c r="K36" i="2"/>
  <c r="K37" i="2"/>
  <c r="K38" i="2"/>
  <c r="K39" i="2"/>
  <c r="L29" i="2"/>
  <c r="L30" i="2"/>
  <c r="L31" i="2"/>
  <c r="L32" i="2"/>
  <c r="L33" i="2"/>
  <c r="L34" i="2"/>
  <c r="L35" i="2"/>
  <c r="L36" i="2"/>
  <c r="L37" i="2"/>
  <c r="L38" i="2"/>
  <c r="L39" i="2"/>
  <c r="M29" i="2"/>
  <c r="M30" i="2"/>
  <c r="M31" i="2"/>
  <c r="M32" i="2"/>
  <c r="M33" i="2"/>
  <c r="M34" i="2"/>
  <c r="M35" i="2"/>
  <c r="M36" i="2"/>
  <c r="M37" i="2"/>
  <c r="M38" i="2"/>
  <c r="M39" i="2"/>
  <c r="N29" i="2"/>
  <c r="N30" i="2"/>
  <c r="N31" i="2"/>
  <c r="N32" i="2"/>
  <c r="N33" i="2"/>
  <c r="N34" i="2"/>
  <c r="N35" i="2"/>
  <c r="N36" i="2"/>
  <c r="N37" i="2"/>
  <c r="N38" i="2"/>
  <c r="N39" i="2"/>
  <c r="O29" i="2"/>
  <c r="O30" i="2"/>
  <c r="O31" i="2"/>
  <c r="O32" i="2"/>
  <c r="O33" i="2"/>
  <c r="O34" i="2"/>
  <c r="O35" i="2"/>
  <c r="O36" i="2"/>
  <c r="O37" i="2"/>
  <c r="O38" i="2"/>
  <c r="O39" i="2"/>
  <c r="P29" i="2"/>
  <c r="P30" i="2"/>
  <c r="P31" i="2"/>
  <c r="P32" i="2"/>
  <c r="P33" i="2"/>
  <c r="P34" i="2"/>
  <c r="P35" i="2"/>
  <c r="P36" i="2"/>
  <c r="P37" i="2"/>
  <c r="P38" i="2"/>
  <c r="P39" i="2"/>
  <c r="Q29" i="2"/>
  <c r="Q30" i="2"/>
  <c r="Q31" i="2"/>
  <c r="Q32" i="2"/>
  <c r="Q33" i="2"/>
  <c r="Q34" i="2"/>
  <c r="Q35" i="2"/>
  <c r="Q36" i="2"/>
  <c r="Q37" i="2"/>
  <c r="Q38" i="2"/>
  <c r="Q39" i="2"/>
  <c r="R29" i="2"/>
  <c r="R30" i="2"/>
  <c r="R31" i="2"/>
  <c r="R32" i="2"/>
  <c r="R33" i="2"/>
  <c r="R34" i="2"/>
  <c r="R35" i="2"/>
  <c r="R36" i="2"/>
  <c r="R37" i="2"/>
  <c r="R38" i="2"/>
  <c r="R39" i="2"/>
  <c r="S29" i="2"/>
  <c r="S30" i="2"/>
  <c r="S31" i="2"/>
  <c r="S32" i="2"/>
  <c r="S33" i="2"/>
  <c r="S34" i="2"/>
  <c r="S35" i="2"/>
  <c r="S36" i="2"/>
  <c r="S37" i="2"/>
  <c r="S38" i="2"/>
  <c r="S39" i="2"/>
  <c r="T29" i="2"/>
  <c r="T30" i="2"/>
  <c r="T31" i="2"/>
  <c r="T32" i="2"/>
  <c r="T33" i="2"/>
  <c r="T34" i="2"/>
  <c r="T35" i="2"/>
  <c r="T36" i="2"/>
  <c r="T37" i="2"/>
  <c r="T38" i="2"/>
  <c r="T39" i="2"/>
  <c r="U29" i="2"/>
  <c r="U30" i="2"/>
  <c r="U31" i="2"/>
  <c r="U32" i="2"/>
  <c r="U33" i="2"/>
  <c r="U34" i="2"/>
  <c r="U35" i="2"/>
  <c r="U36" i="2"/>
  <c r="U37" i="2"/>
  <c r="U38" i="2"/>
  <c r="U39" i="2"/>
  <c r="V29" i="2"/>
  <c r="V30" i="2"/>
  <c r="V31" i="2"/>
  <c r="V32" i="2"/>
  <c r="V33" i="2"/>
  <c r="V34" i="2"/>
  <c r="V35" i="2"/>
  <c r="V36" i="2"/>
  <c r="V37" i="2"/>
  <c r="V38" i="2"/>
  <c r="V39" i="2"/>
  <c r="C12" i="13"/>
  <c r="H19" i="4"/>
  <c r="H20" i="4"/>
  <c r="H21" i="4"/>
  <c r="H22" i="4"/>
  <c r="K19" i="4"/>
  <c r="K20" i="4"/>
  <c r="K21" i="4"/>
  <c r="K22" i="4"/>
  <c r="L19" i="4"/>
  <c r="L20" i="4"/>
  <c r="L21" i="4"/>
  <c r="L22" i="4"/>
  <c r="M19" i="4"/>
  <c r="M20" i="4"/>
  <c r="M21" i="4"/>
  <c r="M22" i="4"/>
  <c r="N19" i="4"/>
  <c r="N20" i="4"/>
  <c r="N21" i="4"/>
  <c r="N22" i="4"/>
  <c r="O19" i="4"/>
  <c r="O20" i="4"/>
  <c r="O21" i="4"/>
  <c r="O22" i="4"/>
  <c r="P19" i="4"/>
  <c r="P20" i="4"/>
  <c r="P21" i="4"/>
  <c r="P22" i="4"/>
  <c r="Q19" i="4"/>
  <c r="Q20" i="4"/>
  <c r="Q21" i="4"/>
  <c r="Q22" i="4"/>
  <c r="R19" i="4"/>
  <c r="R20" i="4"/>
  <c r="R21" i="4"/>
  <c r="R22" i="4"/>
  <c r="S19" i="4"/>
  <c r="S20" i="4"/>
  <c r="S21" i="4"/>
  <c r="S22" i="4"/>
  <c r="T19" i="4"/>
  <c r="T20" i="4"/>
  <c r="T21" i="4"/>
  <c r="T22" i="4"/>
  <c r="U19" i="4"/>
  <c r="U20" i="4"/>
  <c r="U21" i="4"/>
  <c r="U22" i="4"/>
  <c r="V19" i="4"/>
  <c r="V20" i="4"/>
  <c r="V21" i="4"/>
  <c r="V22" i="4"/>
  <c r="H19" i="2"/>
  <c r="H20" i="2"/>
  <c r="H21" i="2"/>
  <c r="H22" i="2"/>
  <c r="H23" i="2"/>
  <c r="H24" i="2"/>
  <c r="H25" i="2"/>
  <c r="H26" i="2"/>
  <c r="H27" i="2"/>
  <c r="H28" i="2"/>
  <c r="K19" i="2"/>
  <c r="K20" i="2"/>
  <c r="K21" i="2"/>
  <c r="K22" i="2"/>
  <c r="K23" i="2"/>
  <c r="K24" i="2"/>
  <c r="K25" i="2"/>
  <c r="K26" i="2"/>
  <c r="K27" i="2"/>
  <c r="K28" i="2"/>
  <c r="L19" i="2"/>
  <c r="L20" i="2"/>
  <c r="L21" i="2"/>
  <c r="L22" i="2"/>
  <c r="L23" i="2"/>
  <c r="L24" i="2"/>
  <c r="L25" i="2"/>
  <c r="L26" i="2"/>
  <c r="L27" i="2"/>
  <c r="L28" i="2"/>
  <c r="M19" i="2"/>
  <c r="M20" i="2"/>
  <c r="M21" i="2"/>
  <c r="M22" i="2"/>
  <c r="M23" i="2"/>
  <c r="M24" i="2"/>
  <c r="M25" i="2"/>
  <c r="M26" i="2"/>
  <c r="M27" i="2"/>
  <c r="M28" i="2"/>
  <c r="N19" i="2"/>
  <c r="N20" i="2"/>
  <c r="N21" i="2"/>
  <c r="N22" i="2"/>
  <c r="N23" i="2"/>
  <c r="N24" i="2"/>
  <c r="N25" i="2"/>
  <c r="N26" i="2"/>
  <c r="N27" i="2"/>
  <c r="N28" i="2"/>
  <c r="O19" i="2"/>
  <c r="O20" i="2"/>
  <c r="O21" i="2"/>
  <c r="O22" i="2"/>
  <c r="O23" i="2"/>
  <c r="O24" i="2"/>
  <c r="O25" i="2"/>
  <c r="O26" i="2"/>
  <c r="O27" i="2"/>
  <c r="O28" i="2"/>
  <c r="P19" i="2"/>
  <c r="P20" i="2"/>
  <c r="P21" i="2"/>
  <c r="P22" i="2"/>
  <c r="P23" i="2"/>
  <c r="P24" i="2"/>
  <c r="P25" i="2"/>
  <c r="P26" i="2"/>
  <c r="P27" i="2"/>
  <c r="P28" i="2"/>
  <c r="Q19" i="2"/>
  <c r="Q20" i="2"/>
  <c r="Q21" i="2"/>
  <c r="Q22" i="2"/>
  <c r="Q23" i="2"/>
  <c r="Q24" i="2"/>
  <c r="Q25" i="2"/>
  <c r="Q26" i="2"/>
  <c r="Q27" i="2"/>
  <c r="Q28" i="2"/>
  <c r="R19" i="2"/>
  <c r="R20" i="2"/>
  <c r="R21" i="2"/>
  <c r="R22" i="2"/>
  <c r="R23" i="2"/>
  <c r="R24" i="2"/>
  <c r="R25" i="2"/>
  <c r="R26" i="2"/>
  <c r="R27" i="2"/>
  <c r="R28" i="2"/>
  <c r="S19" i="2"/>
  <c r="S20" i="2"/>
  <c r="S21" i="2"/>
  <c r="S22" i="2"/>
  <c r="S23" i="2"/>
  <c r="S24" i="2"/>
  <c r="S25" i="2"/>
  <c r="S26" i="2"/>
  <c r="S27" i="2"/>
  <c r="S28" i="2"/>
  <c r="T19" i="2"/>
  <c r="T20" i="2"/>
  <c r="T21" i="2"/>
  <c r="T22" i="2"/>
  <c r="T23" i="2"/>
  <c r="T24" i="2"/>
  <c r="T25" i="2"/>
  <c r="T26" i="2"/>
  <c r="T27" i="2"/>
  <c r="T28" i="2"/>
  <c r="U19" i="2"/>
  <c r="U20" i="2"/>
  <c r="U21" i="2"/>
  <c r="U22" i="2"/>
  <c r="U23" i="2"/>
  <c r="U24" i="2"/>
  <c r="U25" i="2"/>
  <c r="U26" i="2"/>
  <c r="U27" i="2"/>
  <c r="U28" i="2"/>
  <c r="V19" i="2"/>
  <c r="V20" i="2"/>
  <c r="V21" i="2"/>
  <c r="V22" i="2"/>
  <c r="V23" i="2"/>
  <c r="V24" i="2"/>
  <c r="V25" i="2"/>
  <c r="V26" i="2"/>
  <c r="V27" i="2"/>
  <c r="V28" i="2"/>
  <c r="C11" i="13"/>
  <c r="U8" i="10"/>
  <c r="U9" i="10"/>
  <c r="U10" i="10"/>
  <c r="U11" i="10"/>
  <c r="U12" i="10"/>
  <c r="U13" i="10"/>
  <c r="U14" i="10"/>
  <c r="U15" i="10"/>
  <c r="U16" i="10"/>
  <c r="U17" i="10"/>
  <c r="U18" i="10"/>
  <c r="U19" i="10"/>
  <c r="U20" i="10"/>
  <c r="U21" i="10"/>
  <c r="U22" i="10"/>
  <c r="U39" i="10"/>
  <c r="T8" i="10"/>
  <c r="V8" i="10"/>
  <c r="V9" i="10"/>
  <c r="V10" i="10"/>
  <c r="V11" i="10"/>
  <c r="V12" i="10"/>
  <c r="V13" i="10"/>
  <c r="V14" i="10"/>
  <c r="V15" i="10"/>
  <c r="V16" i="10"/>
  <c r="V17" i="10"/>
  <c r="V18" i="10"/>
  <c r="V19" i="10"/>
  <c r="V20" i="10"/>
  <c r="V21" i="10"/>
  <c r="V22" i="10"/>
  <c r="V39" i="10"/>
  <c r="T9" i="10"/>
  <c r="T10" i="10"/>
  <c r="T11" i="10"/>
  <c r="T12" i="10"/>
  <c r="T13" i="10"/>
  <c r="T14" i="10"/>
  <c r="T15" i="10"/>
  <c r="T16" i="10"/>
  <c r="T17" i="10"/>
  <c r="T18" i="10"/>
  <c r="T19" i="10"/>
  <c r="T20" i="10"/>
  <c r="T21" i="10"/>
  <c r="T22" i="10"/>
  <c r="T39" i="10"/>
  <c r="V8" i="9"/>
  <c r="V9" i="9"/>
  <c r="V10" i="9"/>
  <c r="V11" i="9"/>
  <c r="V12" i="9"/>
  <c r="V13" i="9"/>
  <c r="V14" i="9"/>
  <c r="V15" i="9"/>
  <c r="V16" i="9"/>
  <c r="V17" i="9"/>
  <c r="V18" i="9"/>
  <c r="V19" i="9"/>
  <c r="V20" i="9"/>
  <c r="V21" i="9"/>
  <c r="V22" i="9"/>
  <c r="V23" i="9"/>
  <c r="V38" i="9"/>
  <c r="V39" i="9"/>
  <c r="U8" i="9"/>
  <c r="U9" i="9"/>
  <c r="U10" i="9"/>
  <c r="U11" i="9"/>
  <c r="U12" i="9"/>
  <c r="U13" i="9"/>
  <c r="U14" i="9"/>
  <c r="U15" i="9"/>
  <c r="U16" i="9"/>
  <c r="U17" i="9"/>
  <c r="U18" i="9"/>
  <c r="U19" i="9"/>
  <c r="U20" i="9"/>
  <c r="U21" i="9"/>
  <c r="U22" i="9"/>
  <c r="U23" i="9"/>
  <c r="U38" i="9"/>
  <c r="U39" i="9"/>
  <c r="T8" i="9"/>
  <c r="T9" i="9"/>
  <c r="T10" i="9"/>
  <c r="T11" i="9"/>
  <c r="T12" i="9"/>
  <c r="T13" i="9"/>
  <c r="T14" i="9"/>
  <c r="T15" i="9"/>
  <c r="T16" i="9"/>
  <c r="T17" i="9"/>
  <c r="T18" i="9"/>
  <c r="T19" i="9"/>
  <c r="T20" i="9"/>
  <c r="T21" i="9"/>
  <c r="T22" i="9"/>
  <c r="T23" i="9"/>
  <c r="T38" i="9"/>
  <c r="T39" i="9"/>
  <c r="V8" i="8"/>
  <c r="V9" i="8"/>
  <c r="V1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U8" i="8"/>
  <c r="T8" i="8"/>
  <c r="U9" i="8"/>
  <c r="U10" i="8"/>
  <c r="U11" i="8"/>
  <c r="U12" i="8"/>
  <c r="U13" i="8"/>
  <c r="U14" i="8"/>
  <c r="U15" i="8"/>
  <c r="U16" i="8"/>
  <c r="U17" i="8"/>
  <c r="U18" i="8"/>
  <c r="U19" i="8"/>
  <c r="U20" i="8"/>
  <c r="U21" i="8"/>
  <c r="U22" i="8"/>
  <c r="U23" i="8"/>
  <c r="U24" i="8"/>
  <c r="U25" i="8"/>
  <c r="U26" i="8"/>
  <c r="U27" i="8"/>
  <c r="U28" i="8"/>
  <c r="U29" i="8"/>
  <c r="U30" i="8"/>
  <c r="U31" i="8"/>
  <c r="U32" i="8"/>
  <c r="U33" i="8"/>
  <c r="U34" i="8"/>
  <c r="U35" i="8"/>
  <c r="U36" i="8"/>
  <c r="U37" i="8"/>
  <c r="U38" i="8"/>
  <c r="U39"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U8" i="7"/>
  <c r="U9" i="7"/>
  <c r="U10" i="7"/>
  <c r="U11" i="7"/>
  <c r="U12" i="7"/>
  <c r="U13" i="7"/>
  <c r="U14" i="7"/>
  <c r="U15" i="7"/>
  <c r="U16" i="7"/>
  <c r="U17" i="7"/>
  <c r="U18" i="7"/>
  <c r="U19" i="7"/>
  <c r="U20" i="7"/>
  <c r="U21" i="7"/>
  <c r="U22" i="7"/>
  <c r="U23" i="7"/>
  <c r="U24" i="7"/>
  <c r="U25" i="7"/>
  <c r="U26" i="7"/>
  <c r="U27" i="7"/>
  <c r="U39" i="7"/>
  <c r="T8" i="7"/>
  <c r="V8" i="7"/>
  <c r="V9" i="7"/>
  <c r="V10" i="7"/>
  <c r="V11" i="7"/>
  <c r="V12" i="7"/>
  <c r="V13" i="7"/>
  <c r="V14" i="7"/>
  <c r="V15" i="7"/>
  <c r="V16" i="7"/>
  <c r="V17" i="7"/>
  <c r="V18" i="7"/>
  <c r="V19" i="7"/>
  <c r="V20" i="7"/>
  <c r="V21" i="7"/>
  <c r="V22" i="7"/>
  <c r="V23" i="7"/>
  <c r="V24" i="7"/>
  <c r="V25" i="7"/>
  <c r="V26" i="7"/>
  <c r="V27" i="7"/>
  <c r="V39" i="7"/>
  <c r="T9" i="7"/>
  <c r="T10" i="7"/>
  <c r="T11" i="7"/>
  <c r="T12" i="7"/>
  <c r="T13" i="7"/>
  <c r="T14" i="7"/>
  <c r="T15" i="7"/>
  <c r="T16" i="7"/>
  <c r="T17" i="7"/>
  <c r="T18" i="7"/>
  <c r="T19" i="7"/>
  <c r="T20" i="7"/>
  <c r="T21" i="7"/>
  <c r="T22" i="7"/>
  <c r="T23" i="7"/>
  <c r="T24" i="7"/>
  <c r="T25" i="7"/>
  <c r="T26" i="7"/>
  <c r="T27" i="7"/>
  <c r="T39" i="7"/>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U8" i="5"/>
  <c r="U9" i="5"/>
  <c r="U10" i="5"/>
  <c r="U11" i="5"/>
  <c r="U12" i="5"/>
  <c r="U13" i="5"/>
  <c r="U14" i="5"/>
  <c r="U15" i="5"/>
  <c r="U16" i="5"/>
  <c r="U17" i="5"/>
  <c r="U18" i="5"/>
  <c r="U19" i="5"/>
  <c r="U20" i="5"/>
  <c r="U21" i="5"/>
  <c r="U22" i="5"/>
  <c r="U23" i="5"/>
  <c r="U24" i="5"/>
  <c r="U25" i="5"/>
  <c r="U26" i="5"/>
  <c r="U27" i="5"/>
  <c r="U28" i="5"/>
  <c r="U29" i="5"/>
  <c r="U30" i="5"/>
  <c r="U31" i="5"/>
  <c r="T8" i="5"/>
  <c r="T9" i="5"/>
  <c r="T10" i="5"/>
  <c r="T11" i="5"/>
  <c r="T12" i="5"/>
  <c r="T13" i="5"/>
  <c r="T14" i="5"/>
  <c r="T15" i="5"/>
  <c r="T16" i="5"/>
  <c r="T17" i="5"/>
  <c r="T18" i="5"/>
  <c r="T19" i="5"/>
  <c r="T20" i="5"/>
  <c r="T21" i="5"/>
  <c r="T22" i="5"/>
  <c r="T23" i="5"/>
  <c r="T24" i="5"/>
  <c r="T25" i="5"/>
  <c r="T26" i="5"/>
  <c r="T27" i="5"/>
  <c r="T28" i="5"/>
  <c r="T29" i="5"/>
  <c r="T30" i="5"/>
  <c r="T31" i="5"/>
  <c r="V8" i="5"/>
  <c r="V9" i="5"/>
  <c r="V10" i="5"/>
  <c r="V11" i="5"/>
  <c r="V12" i="5"/>
  <c r="V13" i="5"/>
  <c r="V14" i="5"/>
  <c r="V15" i="5"/>
  <c r="V16" i="5"/>
  <c r="V17" i="5"/>
  <c r="V18" i="5"/>
  <c r="V19" i="5"/>
  <c r="V20" i="5"/>
  <c r="V21" i="5"/>
  <c r="V22" i="5"/>
  <c r="V23" i="5"/>
  <c r="V24" i="5"/>
  <c r="V25" i="5"/>
  <c r="V26" i="5"/>
  <c r="V27" i="5"/>
  <c r="V28" i="5"/>
  <c r="V29" i="5"/>
  <c r="V30" i="5"/>
  <c r="V31" i="5"/>
  <c r="V8" i="4"/>
  <c r="V9" i="4"/>
  <c r="V10" i="4"/>
  <c r="V11" i="4"/>
  <c r="V12" i="4"/>
  <c r="V13" i="4"/>
  <c r="V14" i="4"/>
  <c r="V15" i="4"/>
  <c r="V16" i="4"/>
  <c r="V17" i="4"/>
  <c r="V18" i="4"/>
  <c r="V23" i="4"/>
  <c r="V24" i="4"/>
  <c r="V25" i="4"/>
  <c r="V26" i="4"/>
  <c r="V27" i="4"/>
  <c r="V28" i="4"/>
  <c r="V29" i="4"/>
  <c r="V30" i="4"/>
  <c r="V31" i="4"/>
  <c r="V32" i="4"/>
  <c r="V33" i="4"/>
  <c r="V34" i="4"/>
  <c r="V39" i="4"/>
  <c r="U8" i="4"/>
  <c r="U9" i="4"/>
  <c r="U10" i="4"/>
  <c r="U11" i="4"/>
  <c r="U12" i="4"/>
  <c r="U13" i="4"/>
  <c r="U14" i="4"/>
  <c r="U15" i="4"/>
  <c r="U16" i="4"/>
  <c r="U17" i="4"/>
  <c r="U18" i="4"/>
  <c r="U23" i="4"/>
  <c r="U24" i="4"/>
  <c r="U25" i="4"/>
  <c r="U26" i="4"/>
  <c r="U27" i="4"/>
  <c r="U28" i="4"/>
  <c r="U29" i="4"/>
  <c r="U30" i="4"/>
  <c r="U31" i="4"/>
  <c r="U32" i="4"/>
  <c r="U33" i="4"/>
  <c r="U34" i="4"/>
  <c r="U39" i="4"/>
  <c r="T8" i="4"/>
  <c r="T9" i="4"/>
  <c r="T10" i="4"/>
  <c r="T11" i="4"/>
  <c r="T12" i="4"/>
  <c r="T13" i="4"/>
  <c r="T14" i="4"/>
  <c r="T15" i="4"/>
  <c r="T16" i="4"/>
  <c r="T17" i="4"/>
  <c r="T18" i="4"/>
  <c r="T23" i="4"/>
  <c r="T24" i="4"/>
  <c r="T25" i="4"/>
  <c r="T26" i="4"/>
  <c r="T27" i="4"/>
  <c r="T28" i="4"/>
  <c r="T29" i="4"/>
  <c r="T30" i="4"/>
  <c r="T31" i="4"/>
  <c r="T32" i="4"/>
  <c r="T33" i="4"/>
  <c r="T34" i="4"/>
  <c r="T39" i="4"/>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V8" i="2"/>
  <c r="V9" i="2"/>
  <c r="V10" i="2"/>
  <c r="V11" i="2"/>
  <c r="V12" i="2"/>
  <c r="V13" i="2"/>
  <c r="V14" i="2"/>
  <c r="V15" i="2"/>
  <c r="V16" i="2"/>
  <c r="V17" i="2"/>
  <c r="V18" i="2"/>
  <c r="U8" i="2"/>
  <c r="U9" i="2"/>
  <c r="U10" i="2"/>
  <c r="U11" i="2"/>
  <c r="U12" i="2"/>
  <c r="U13" i="2"/>
  <c r="U14" i="2"/>
  <c r="U15" i="2"/>
  <c r="U16" i="2"/>
  <c r="U17" i="2"/>
  <c r="U18" i="2"/>
  <c r="T8" i="2"/>
  <c r="T9" i="2"/>
  <c r="T10" i="2"/>
  <c r="T11" i="2"/>
  <c r="T12" i="2"/>
  <c r="T13" i="2"/>
  <c r="T14" i="2"/>
  <c r="T15" i="2"/>
  <c r="T16" i="2"/>
  <c r="T17" i="2"/>
  <c r="T18" i="2"/>
  <c r="V8" i="1"/>
  <c r="V9" i="1"/>
  <c r="V10" i="1"/>
  <c r="V11" i="1"/>
  <c r="V12" i="1"/>
  <c r="V13" i="1"/>
  <c r="V14" i="1"/>
  <c r="V15" i="1"/>
  <c r="V16" i="1"/>
  <c r="V17" i="1"/>
  <c r="V18" i="1"/>
  <c r="V19" i="1"/>
  <c r="V20" i="1"/>
  <c r="V21" i="1"/>
  <c r="V22" i="1"/>
  <c r="V29" i="1"/>
  <c r="V30" i="1"/>
  <c r="V31" i="1"/>
  <c r="V32" i="1"/>
  <c r="V33" i="1"/>
  <c r="V34" i="1"/>
  <c r="V35" i="1"/>
  <c r="V36" i="1"/>
  <c r="V37" i="1"/>
  <c r="V38" i="1"/>
  <c r="V39" i="1"/>
  <c r="U8" i="1"/>
  <c r="U9" i="1"/>
  <c r="U10" i="1"/>
  <c r="U11" i="1"/>
  <c r="U12" i="1"/>
  <c r="U13" i="1"/>
  <c r="U14" i="1"/>
  <c r="U15" i="1"/>
  <c r="U16" i="1"/>
  <c r="U17" i="1"/>
  <c r="U18" i="1"/>
  <c r="U19" i="1"/>
  <c r="U20" i="1"/>
  <c r="U21" i="1"/>
  <c r="U22" i="1"/>
  <c r="U29" i="1"/>
  <c r="U30" i="1"/>
  <c r="U31" i="1"/>
  <c r="U32" i="1"/>
  <c r="U33" i="1"/>
  <c r="U34" i="1"/>
  <c r="U35" i="1"/>
  <c r="U36" i="1"/>
  <c r="U37" i="1"/>
  <c r="U38" i="1"/>
  <c r="U39" i="1"/>
  <c r="T8" i="1"/>
  <c r="T9" i="1"/>
  <c r="T10" i="1"/>
  <c r="T11" i="1"/>
  <c r="T12" i="1"/>
  <c r="T13" i="1"/>
  <c r="T14" i="1"/>
  <c r="T15" i="1"/>
  <c r="T16" i="1"/>
  <c r="T17" i="1"/>
  <c r="T18" i="1"/>
  <c r="T19" i="1"/>
  <c r="T20" i="1"/>
  <c r="T21" i="1"/>
  <c r="T22" i="1"/>
  <c r="T29" i="1"/>
  <c r="T30" i="1"/>
  <c r="T31" i="1"/>
  <c r="T32" i="1"/>
  <c r="T33" i="1"/>
  <c r="T34" i="1"/>
  <c r="T35" i="1"/>
  <c r="T36" i="1"/>
  <c r="T37" i="1"/>
  <c r="T38" i="1"/>
  <c r="T39" i="1"/>
  <c r="V9" i="14"/>
  <c r="V10" i="14"/>
  <c r="V11" i="14"/>
  <c r="V12" i="14"/>
  <c r="V13" i="14"/>
  <c r="V14" i="14"/>
  <c r="V15" i="14"/>
  <c r="V16" i="14"/>
  <c r="V17" i="14"/>
  <c r="V18" i="14"/>
  <c r="V19" i="14"/>
  <c r="V20" i="14"/>
  <c r="V21" i="14"/>
  <c r="V22" i="14"/>
  <c r="V23" i="14"/>
  <c r="T8" i="14"/>
  <c r="T10" i="14"/>
  <c r="T11" i="14"/>
  <c r="T12" i="14"/>
  <c r="T13" i="14"/>
  <c r="T14" i="14"/>
  <c r="T15" i="14"/>
  <c r="T16" i="14"/>
  <c r="T17" i="14"/>
  <c r="T18" i="14"/>
  <c r="T19" i="14"/>
  <c r="T20" i="14"/>
  <c r="T21" i="14"/>
  <c r="T22" i="14"/>
  <c r="T23" i="14"/>
  <c r="U8" i="14"/>
  <c r="U9" i="14"/>
  <c r="U10" i="14"/>
  <c r="U11" i="14"/>
  <c r="U12" i="14"/>
  <c r="U13" i="14"/>
  <c r="U14" i="14"/>
  <c r="U15" i="14"/>
  <c r="U16" i="14"/>
  <c r="U17" i="14"/>
  <c r="U18" i="14"/>
  <c r="U19" i="14"/>
  <c r="U20" i="14"/>
  <c r="U21" i="14"/>
  <c r="U22" i="14"/>
  <c r="U23" i="14"/>
  <c r="N8" i="1"/>
  <c r="S8" i="2"/>
  <c r="H9" i="14"/>
  <c r="T9" i="14" s="1"/>
  <c r="H10" i="14"/>
  <c r="H11" i="14"/>
  <c r="H12" i="14"/>
  <c r="H13" i="14"/>
  <c r="H14" i="14"/>
  <c r="H15" i="14"/>
  <c r="H16" i="14"/>
  <c r="H17" i="14"/>
  <c r="H18" i="14"/>
  <c r="H19" i="14"/>
  <c r="H20" i="14"/>
  <c r="H21" i="14"/>
  <c r="H22" i="14"/>
  <c r="H23" i="14"/>
  <c r="H8" i="14"/>
  <c r="V8" i="14" s="1"/>
  <c r="H9" i="10"/>
  <c r="H10" i="10"/>
  <c r="H11" i="10"/>
  <c r="H12" i="10"/>
  <c r="H13" i="10"/>
  <c r="H14" i="10"/>
  <c r="H15" i="10"/>
  <c r="H16" i="10"/>
  <c r="H17" i="10"/>
  <c r="H18" i="10"/>
  <c r="H19" i="10"/>
  <c r="H20" i="10"/>
  <c r="H21" i="10"/>
  <c r="H22" i="10"/>
  <c r="H39" i="10"/>
  <c r="H8" i="10"/>
  <c r="N8" i="10" s="1"/>
  <c r="H19" i="9"/>
  <c r="H9" i="9"/>
  <c r="H10" i="9"/>
  <c r="H11" i="9"/>
  <c r="H12" i="9"/>
  <c r="H13" i="9"/>
  <c r="H14" i="9"/>
  <c r="H15" i="9"/>
  <c r="H16" i="9"/>
  <c r="H17" i="9"/>
  <c r="H18" i="9"/>
  <c r="H20" i="9"/>
  <c r="H21" i="9"/>
  <c r="H22" i="9"/>
  <c r="H23" i="9"/>
  <c r="H38" i="9"/>
  <c r="H39" i="9"/>
  <c r="H8" i="9"/>
  <c r="N12" i="14"/>
  <c r="S23" i="14"/>
  <c r="R23" i="14"/>
  <c r="Q23" i="14"/>
  <c r="P23" i="14"/>
  <c r="O23" i="14"/>
  <c r="N23" i="14"/>
  <c r="M23" i="14"/>
  <c r="L23" i="14"/>
  <c r="K23" i="14"/>
  <c r="S22" i="14"/>
  <c r="R22" i="14"/>
  <c r="Q22" i="14"/>
  <c r="P22" i="14"/>
  <c r="O22" i="14"/>
  <c r="N22" i="14"/>
  <c r="M22" i="14"/>
  <c r="L22" i="14"/>
  <c r="K22" i="14"/>
  <c r="S21" i="14"/>
  <c r="R21" i="14"/>
  <c r="Q21" i="14"/>
  <c r="P21" i="14"/>
  <c r="O21" i="14"/>
  <c r="N21" i="14"/>
  <c r="M21" i="14"/>
  <c r="L21" i="14"/>
  <c r="K21" i="14"/>
  <c r="S20" i="14"/>
  <c r="R20" i="14"/>
  <c r="Q20" i="14"/>
  <c r="P20" i="14"/>
  <c r="O20" i="14"/>
  <c r="N20" i="14"/>
  <c r="M20" i="14"/>
  <c r="L20" i="14"/>
  <c r="K20" i="14"/>
  <c r="S19" i="14"/>
  <c r="R19" i="14"/>
  <c r="Q19" i="14"/>
  <c r="P19" i="14"/>
  <c r="O19" i="14"/>
  <c r="N19" i="14"/>
  <c r="M19" i="14"/>
  <c r="L19" i="14"/>
  <c r="K19" i="14"/>
  <c r="S18" i="14"/>
  <c r="R18" i="14"/>
  <c r="Q18" i="14"/>
  <c r="P18" i="14"/>
  <c r="O18" i="14"/>
  <c r="N18" i="14"/>
  <c r="M18" i="14"/>
  <c r="L18" i="14"/>
  <c r="K18" i="14"/>
  <c r="S17" i="14"/>
  <c r="R17" i="14"/>
  <c r="Q17" i="14"/>
  <c r="P17" i="14"/>
  <c r="O17" i="14"/>
  <c r="N17" i="14"/>
  <c r="M17" i="14"/>
  <c r="L17" i="14"/>
  <c r="K17" i="14"/>
  <c r="S16" i="14"/>
  <c r="R16" i="14"/>
  <c r="Q16" i="14"/>
  <c r="P16" i="14"/>
  <c r="O16" i="14"/>
  <c r="N16" i="14"/>
  <c r="M16" i="14"/>
  <c r="L16" i="14"/>
  <c r="K16" i="14"/>
  <c r="S15" i="14"/>
  <c r="R15" i="14"/>
  <c r="Q15" i="14"/>
  <c r="P15" i="14"/>
  <c r="O15" i="14"/>
  <c r="N15" i="14"/>
  <c r="M15" i="14"/>
  <c r="L15" i="14"/>
  <c r="K15" i="14"/>
  <c r="S14" i="14"/>
  <c r="R14" i="14"/>
  <c r="Q14" i="14"/>
  <c r="P14" i="14"/>
  <c r="O14" i="14"/>
  <c r="N14" i="14"/>
  <c r="M14" i="14"/>
  <c r="L14" i="14"/>
  <c r="K14" i="14"/>
  <c r="S13" i="14"/>
  <c r="R13" i="14"/>
  <c r="Q13" i="14"/>
  <c r="P13" i="14"/>
  <c r="O13" i="14"/>
  <c r="N13" i="14"/>
  <c r="M13" i="14"/>
  <c r="L13" i="14"/>
  <c r="K13" i="14"/>
  <c r="S12" i="14"/>
  <c r="R12" i="14"/>
  <c r="Q12" i="14"/>
  <c r="P12" i="14"/>
  <c r="O12" i="14"/>
  <c r="M12" i="14"/>
  <c r="L12" i="14"/>
  <c r="K12" i="14"/>
  <c r="S11" i="14"/>
  <c r="R11" i="14"/>
  <c r="Q11" i="14"/>
  <c r="P11" i="14"/>
  <c r="O11" i="14"/>
  <c r="N11" i="14"/>
  <c r="M11" i="14"/>
  <c r="L11" i="14"/>
  <c r="K11" i="14"/>
  <c r="S10" i="14"/>
  <c r="R10" i="14"/>
  <c r="Q10" i="14"/>
  <c r="P10" i="14"/>
  <c r="O10" i="14"/>
  <c r="N10" i="14"/>
  <c r="M10" i="14"/>
  <c r="L10" i="14"/>
  <c r="K10" i="14"/>
  <c r="S9" i="14"/>
  <c r="R9" i="14"/>
  <c r="Q9" i="14"/>
  <c r="P9" i="14"/>
  <c r="O9" i="14"/>
  <c r="N9" i="14"/>
  <c r="M9" i="14"/>
  <c r="L9" i="14"/>
  <c r="K9" i="14"/>
  <c r="S8" i="14"/>
  <c r="R8" i="14"/>
  <c r="Q8" i="14"/>
  <c r="P8" i="14"/>
  <c r="O8" i="14"/>
  <c r="N8" i="14"/>
  <c r="M8" i="14"/>
  <c r="L8" i="14"/>
  <c r="K8" i="14"/>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8" i="7"/>
  <c r="H9" i="7"/>
  <c r="H10" i="7"/>
  <c r="H11" i="7"/>
  <c r="H12" i="7"/>
  <c r="H13" i="7"/>
  <c r="H14" i="7"/>
  <c r="H15" i="7"/>
  <c r="H16" i="7"/>
  <c r="H17" i="7"/>
  <c r="H18" i="7"/>
  <c r="H19" i="7"/>
  <c r="H20" i="7"/>
  <c r="H21" i="7"/>
  <c r="H22" i="7"/>
  <c r="H23" i="7"/>
  <c r="H24" i="7"/>
  <c r="H25" i="7"/>
  <c r="H26" i="7"/>
  <c r="H27" i="7"/>
  <c r="H39" i="7"/>
  <c r="H8" i="6"/>
  <c r="N8" i="6" s="1"/>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K8" i="1"/>
  <c r="L8" i="1"/>
  <c r="R8" i="2"/>
  <c r="R9" i="2"/>
  <c r="R10" i="2"/>
  <c r="R11" i="2"/>
  <c r="R12" i="2"/>
  <c r="R13" i="2"/>
  <c r="R14" i="2"/>
  <c r="R15" i="2"/>
  <c r="R16" i="2"/>
  <c r="R17" i="2"/>
  <c r="R18" i="2"/>
  <c r="Q8" i="2"/>
  <c r="O8" i="2"/>
  <c r="N8" i="2"/>
  <c r="N9" i="2"/>
  <c r="N10" i="2"/>
  <c r="N11" i="2"/>
  <c r="N12" i="2"/>
  <c r="N13" i="2"/>
  <c r="N14" i="2"/>
  <c r="N15" i="2"/>
  <c r="N16" i="2"/>
  <c r="N17" i="2"/>
  <c r="N18" i="2"/>
  <c r="M8" i="2"/>
  <c r="L8" i="2"/>
  <c r="K8" i="2"/>
  <c r="S9" i="2"/>
  <c r="S10" i="2"/>
  <c r="S11" i="2"/>
  <c r="S12" i="2"/>
  <c r="S13" i="2"/>
  <c r="S14" i="2"/>
  <c r="S15" i="2"/>
  <c r="S16" i="2"/>
  <c r="S17" i="2"/>
  <c r="S18" i="2"/>
  <c r="Q9" i="2"/>
  <c r="Q10" i="2"/>
  <c r="Q11" i="2"/>
  <c r="Q12" i="2"/>
  <c r="Q13" i="2"/>
  <c r="Q14" i="2"/>
  <c r="Q15" i="2"/>
  <c r="Q16" i="2"/>
  <c r="Q17" i="2"/>
  <c r="Q18" i="2"/>
  <c r="P8" i="2"/>
  <c r="P9" i="2"/>
  <c r="P10" i="2"/>
  <c r="P11" i="2"/>
  <c r="P12" i="2"/>
  <c r="P13" i="2"/>
  <c r="P14" i="2"/>
  <c r="P15" i="2"/>
  <c r="P16" i="2"/>
  <c r="P17" i="2"/>
  <c r="P18" i="2"/>
  <c r="O9" i="2"/>
  <c r="O10" i="2"/>
  <c r="O11" i="2"/>
  <c r="O12" i="2"/>
  <c r="O13" i="2"/>
  <c r="O14" i="2"/>
  <c r="O15" i="2"/>
  <c r="O16" i="2"/>
  <c r="O17" i="2"/>
  <c r="O18" i="2"/>
  <c r="M9" i="2"/>
  <c r="M10" i="2"/>
  <c r="M11" i="2"/>
  <c r="M12" i="2"/>
  <c r="M13" i="2"/>
  <c r="M14" i="2"/>
  <c r="M15" i="2"/>
  <c r="M16" i="2"/>
  <c r="M17" i="2"/>
  <c r="M18" i="2"/>
  <c r="L9" i="2"/>
  <c r="L10" i="2"/>
  <c r="L11" i="2"/>
  <c r="L12" i="2"/>
  <c r="L13" i="2"/>
  <c r="L14" i="2"/>
  <c r="L15" i="2"/>
  <c r="L16" i="2"/>
  <c r="L17" i="2"/>
  <c r="L18" i="2"/>
  <c r="K9" i="2"/>
  <c r="K10" i="2"/>
  <c r="K11" i="2"/>
  <c r="K12" i="2"/>
  <c r="K13" i="2"/>
  <c r="K14" i="2"/>
  <c r="K15" i="2"/>
  <c r="K16" i="2"/>
  <c r="K17" i="2"/>
  <c r="K18" i="2"/>
  <c r="K8" i="3"/>
  <c r="H8" i="4"/>
  <c r="H9" i="4"/>
  <c r="H10" i="4"/>
  <c r="H11" i="4"/>
  <c r="H12" i="4"/>
  <c r="H13" i="4"/>
  <c r="H14" i="4"/>
  <c r="H15" i="4"/>
  <c r="H16" i="4"/>
  <c r="H17" i="4"/>
  <c r="H18" i="4"/>
  <c r="H23" i="4"/>
  <c r="H24" i="4"/>
  <c r="H25" i="4"/>
  <c r="H26" i="4"/>
  <c r="H27" i="4"/>
  <c r="H28" i="4"/>
  <c r="H29" i="4"/>
  <c r="H30" i="4"/>
  <c r="H31" i="4"/>
  <c r="H32" i="4"/>
  <c r="H33" i="4"/>
  <c r="H34" i="4"/>
  <c r="H39" i="4"/>
  <c r="R8" i="4"/>
  <c r="R9" i="4"/>
  <c r="R10" i="4"/>
  <c r="R11" i="4"/>
  <c r="R12" i="4"/>
  <c r="R13" i="4"/>
  <c r="R14" i="4"/>
  <c r="R15" i="4"/>
  <c r="R16" i="4"/>
  <c r="R17" i="4"/>
  <c r="R18" i="4"/>
  <c r="R23" i="4"/>
  <c r="R24" i="4"/>
  <c r="R25" i="4"/>
  <c r="R26" i="4"/>
  <c r="R27" i="4"/>
  <c r="R28" i="4"/>
  <c r="R29" i="4"/>
  <c r="R30" i="4"/>
  <c r="R31" i="4"/>
  <c r="R32" i="4"/>
  <c r="R33" i="4"/>
  <c r="R34" i="4"/>
  <c r="R39" i="4"/>
  <c r="S8" i="4"/>
  <c r="S9" i="4"/>
  <c r="S10" i="4"/>
  <c r="S11" i="4"/>
  <c r="S12" i="4"/>
  <c r="S13" i="4"/>
  <c r="S14" i="4"/>
  <c r="S15" i="4"/>
  <c r="S16" i="4"/>
  <c r="S17" i="4"/>
  <c r="S18" i="4"/>
  <c r="S23" i="4"/>
  <c r="S24" i="4"/>
  <c r="S25" i="4"/>
  <c r="S26" i="4"/>
  <c r="S27" i="4"/>
  <c r="S28" i="4"/>
  <c r="S29" i="4"/>
  <c r="S30" i="4"/>
  <c r="S31" i="4"/>
  <c r="S32" i="4"/>
  <c r="S33" i="4"/>
  <c r="S34" i="4"/>
  <c r="S39" i="4"/>
  <c r="Q8" i="4"/>
  <c r="Q9" i="4"/>
  <c r="Q10" i="4"/>
  <c r="Q11" i="4"/>
  <c r="Q12" i="4"/>
  <c r="Q13" i="4"/>
  <c r="Q14" i="4"/>
  <c r="Q15" i="4"/>
  <c r="Q16" i="4"/>
  <c r="Q17" i="4"/>
  <c r="Q18" i="4"/>
  <c r="Q23" i="4"/>
  <c r="Q24" i="4"/>
  <c r="Q25" i="4"/>
  <c r="Q26" i="4"/>
  <c r="Q27" i="4"/>
  <c r="Q28" i="4"/>
  <c r="Q29" i="4"/>
  <c r="Q30" i="4"/>
  <c r="Q31" i="4"/>
  <c r="Q32" i="4"/>
  <c r="Q33" i="4"/>
  <c r="Q34" i="4"/>
  <c r="Q39" i="4"/>
  <c r="P8" i="4"/>
  <c r="P9" i="4"/>
  <c r="P10" i="4"/>
  <c r="P11" i="4"/>
  <c r="P12" i="4"/>
  <c r="P13" i="4"/>
  <c r="P14" i="4"/>
  <c r="P15" i="4"/>
  <c r="P16" i="4"/>
  <c r="P17" i="4"/>
  <c r="P18" i="4"/>
  <c r="P23" i="4"/>
  <c r="P24" i="4"/>
  <c r="P25" i="4"/>
  <c r="P26" i="4"/>
  <c r="P27" i="4"/>
  <c r="P28" i="4"/>
  <c r="P29" i="4"/>
  <c r="P30" i="4"/>
  <c r="P31" i="4"/>
  <c r="P32" i="4"/>
  <c r="P33" i="4"/>
  <c r="P34" i="4"/>
  <c r="P39" i="4"/>
  <c r="O8" i="4"/>
  <c r="N8" i="4"/>
  <c r="M8" i="4"/>
  <c r="M9" i="4"/>
  <c r="M10" i="4"/>
  <c r="M11" i="4"/>
  <c r="M12" i="4"/>
  <c r="M13" i="4"/>
  <c r="M14" i="4"/>
  <c r="M15" i="4"/>
  <c r="M16" i="4"/>
  <c r="M17" i="4"/>
  <c r="M18" i="4"/>
  <c r="M23" i="4"/>
  <c r="M24" i="4"/>
  <c r="M25" i="4"/>
  <c r="M26" i="4"/>
  <c r="M27" i="4"/>
  <c r="M28" i="4"/>
  <c r="M29" i="4"/>
  <c r="M30" i="4"/>
  <c r="M31" i="4"/>
  <c r="M32" i="4"/>
  <c r="M33" i="4"/>
  <c r="M34" i="4"/>
  <c r="M39" i="4"/>
  <c r="O9" i="4"/>
  <c r="O10" i="4"/>
  <c r="O11" i="4"/>
  <c r="O12" i="4"/>
  <c r="O13" i="4"/>
  <c r="O14" i="4"/>
  <c r="O15" i="4"/>
  <c r="O16" i="4"/>
  <c r="O17" i="4"/>
  <c r="O18" i="4"/>
  <c r="O23" i="4"/>
  <c r="O24" i="4"/>
  <c r="O25" i="4"/>
  <c r="O26" i="4"/>
  <c r="O27" i="4"/>
  <c r="O28" i="4"/>
  <c r="O29" i="4"/>
  <c r="O30" i="4"/>
  <c r="O31" i="4"/>
  <c r="O32" i="4"/>
  <c r="O33" i="4"/>
  <c r="O34" i="4"/>
  <c r="O39" i="4"/>
  <c r="N9" i="4"/>
  <c r="N10" i="4"/>
  <c r="N11" i="4"/>
  <c r="N12" i="4"/>
  <c r="N13" i="4"/>
  <c r="N14" i="4"/>
  <c r="N15" i="4"/>
  <c r="N16" i="4"/>
  <c r="N17" i="4"/>
  <c r="N18" i="4"/>
  <c r="N23" i="4"/>
  <c r="N24" i="4"/>
  <c r="N25" i="4"/>
  <c r="N26" i="4"/>
  <c r="N27" i="4"/>
  <c r="N28" i="4"/>
  <c r="N29" i="4"/>
  <c r="N30" i="4"/>
  <c r="N31" i="4"/>
  <c r="N32" i="4"/>
  <c r="N33" i="4"/>
  <c r="N34" i="4"/>
  <c r="N39" i="4"/>
  <c r="L8" i="4"/>
  <c r="L9" i="4"/>
  <c r="L10" i="4"/>
  <c r="L11" i="4"/>
  <c r="L12" i="4"/>
  <c r="L13" i="4"/>
  <c r="L14" i="4"/>
  <c r="L15" i="4"/>
  <c r="L16" i="4"/>
  <c r="L17" i="4"/>
  <c r="L18" i="4"/>
  <c r="L23" i="4"/>
  <c r="L24" i="4"/>
  <c r="L25" i="4"/>
  <c r="L26" i="4"/>
  <c r="L27" i="4"/>
  <c r="L28" i="4"/>
  <c r="L29" i="4"/>
  <c r="L30" i="4"/>
  <c r="L31" i="4"/>
  <c r="L32" i="4"/>
  <c r="L33" i="4"/>
  <c r="L34" i="4"/>
  <c r="L39" i="4"/>
  <c r="K8" i="4"/>
  <c r="K9" i="4"/>
  <c r="K10" i="4"/>
  <c r="K11" i="4"/>
  <c r="K12" i="4"/>
  <c r="K13" i="4"/>
  <c r="K14" i="4"/>
  <c r="K15" i="4"/>
  <c r="K16" i="4"/>
  <c r="K17" i="4"/>
  <c r="K18" i="4"/>
  <c r="K23" i="4"/>
  <c r="K24" i="4"/>
  <c r="K25" i="4"/>
  <c r="K26" i="4"/>
  <c r="K27" i="4"/>
  <c r="K28" i="4"/>
  <c r="K29" i="4"/>
  <c r="K30" i="4"/>
  <c r="K31" i="4"/>
  <c r="K32" i="4"/>
  <c r="K33" i="4"/>
  <c r="K34" i="4"/>
  <c r="K39" i="4"/>
  <c r="H8" i="5"/>
  <c r="H9" i="5"/>
  <c r="H10" i="5"/>
  <c r="H11" i="5"/>
  <c r="H12" i="5"/>
  <c r="H13" i="5"/>
  <c r="H14" i="5"/>
  <c r="H15" i="5"/>
  <c r="H16" i="5"/>
  <c r="H17" i="5"/>
  <c r="H18" i="5"/>
  <c r="H19" i="5"/>
  <c r="H20" i="5"/>
  <c r="H21" i="5"/>
  <c r="H22" i="5"/>
  <c r="H23" i="5"/>
  <c r="H24" i="5"/>
  <c r="H25" i="5"/>
  <c r="H26" i="5"/>
  <c r="H27" i="5"/>
  <c r="H28" i="5"/>
  <c r="H29" i="5"/>
  <c r="H30" i="5"/>
  <c r="H31" i="5"/>
  <c r="K8" i="5"/>
  <c r="K9" i="5"/>
  <c r="K10" i="5"/>
  <c r="K11" i="5"/>
  <c r="K12" i="5"/>
  <c r="K13" i="5"/>
  <c r="K14" i="5"/>
  <c r="K15" i="5"/>
  <c r="K16" i="5"/>
  <c r="K17" i="5"/>
  <c r="K18" i="5"/>
  <c r="K19" i="5"/>
  <c r="K20" i="5"/>
  <c r="K21" i="5"/>
  <c r="K22" i="5"/>
  <c r="K23" i="5"/>
  <c r="K24" i="5"/>
  <c r="K25" i="5"/>
  <c r="K26" i="5"/>
  <c r="K27" i="5"/>
  <c r="K28" i="5"/>
  <c r="K29" i="5"/>
  <c r="K30" i="5"/>
  <c r="K31" i="5"/>
  <c r="L8" i="5"/>
  <c r="L9" i="5"/>
  <c r="L10" i="5"/>
  <c r="L11" i="5"/>
  <c r="L12" i="5"/>
  <c r="L13" i="5"/>
  <c r="L14" i="5"/>
  <c r="L15" i="5"/>
  <c r="L16" i="5"/>
  <c r="L17" i="5"/>
  <c r="L18" i="5"/>
  <c r="L19" i="5"/>
  <c r="L20" i="5"/>
  <c r="L21" i="5"/>
  <c r="L22" i="5"/>
  <c r="L23" i="5"/>
  <c r="L24" i="5"/>
  <c r="L25" i="5"/>
  <c r="L26" i="5"/>
  <c r="L27" i="5"/>
  <c r="L28" i="5"/>
  <c r="L29" i="5"/>
  <c r="L30" i="5"/>
  <c r="L31" i="5"/>
  <c r="M8" i="5"/>
  <c r="M9" i="5"/>
  <c r="M10" i="5"/>
  <c r="M11" i="5"/>
  <c r="M12" i="5"/>
  <c r="M13" i="5"/>
  <c r="M14" i="5"/>
  <c r="M15" i="5"/>
  <c r="M16" i="5"/>
  <c r="M17" i="5"/>
  <c r="M18" i="5"/>
  <c r="M19" i="5"/>
  <c r="M20" i="5"/>
  <c r="M21" i="5"/>
  <c r="M22" i="5"/>
  <c r="M23" i="5"/>
  <c r="M24" i="5"/>
  <c r="M25" i="5"/>
  <c r="M26" i="5"/>
  <c r="M27" i="5"/>
  <c r="M28" i="5"/>
  <c r="M29" i="5"/>
  <c r="M30" i="5"/>
  <c r="M31" i="5"/>
  <c r="N8" i="5"/>
  <c r="N9" i="5"/>
  <c r="N10" i="5"/>
  <c r="N11" i="5"/>
  <c r="N12" i="5"/>
  <c r="N13" i="5"/>
  <c r="N14" i="5"/>
  <c r="N15" i="5"/>
  <c r="N16" i="5"/>
  <c r="N17" i="5"/>
  <c r="N18" i="5"/>
  <c r="N19" i="5"/>
  <c r="N20" i="5"/>
  <c r="N21" i="5"/>
  <c r="N22" i="5"/>
  <c r="N23" i="5"/>
  <c r="N24" i="5"/>
  <c r="N25" i="5"/>
  <c r="N26" i="5"/>
  <c r="N27" i="5"/>
  <c r="N28" i="5"/>
  <c r="N29" i="5"/>
  <c r="N30" i="5"/>
  <c r="N31" i="5"/>
  <c r="O8" i="5"/>
  <c r="O9" i="5"/>
  <c r="O10" i="5"/>
  <c r="O11" i="5"/>
  <c r="O12" i="5"/>
  <c r="O13" i="5"/>
  <c r="O14" i="5"/>
  <c r="O15" i="5"/>
  <c r="O16" i="5"/>
  <c r="O17" i="5"/>
  <c r="O18" i="5"/>
  <c r="O19" i="5"/>
  <c r="O20" i="5"/>
  <c r="O21" i="5"/>
  <c r="O22" i="5"/>
  <c r="O23" i="5"/>
  <c r="O24" i="5"/>
  <c r="O25" i="5"/>
  <c r="O26" i="5"/>
  <c r="O27" i="5"/>
  <c r="O28" i="5"/>
  <c r="O29" i="5"/>
  <c r="O30" i="5"/>
  <c r="O31" i="5"/>
  <c r="P8" i="5"/>
  <c r="P9" i="5"/>
  <c r="P10" i="5"/>
  <c r="P11" i="5"/>
  <c r="P12" i="5"/>
  <c r="P13" i="5"/>
  <c r="P14" i="5"/>
  <c r="P15" i="5"/>
  <c r="P16" i="5"/>
  <c r="P17" i="5"/>
  <c r="P18" i="5"/>
  <c r="P19" i="5"/>
  <c r="P20" i="5"/>
  <c r="P21" i="5"/>
  <c r="P22" i="5"/>
  <c r="P23" i="5"/>
  <c r="P24" i="5"/>
  <c r="P25" i="5"/>
  <c r="P26" i="5"/>
  <c r="P27" i="5"/>
  <c r="P28" i="5"/>
  <c r="P29" i="5"/>
  <c r="P30" i="5"/>
  <c r="P31" i="5"/>
  <c r="Q8" i="5"/>
  <c r="Q9" i="5"/>
  <c r="Q10" i="5"/>
  <c r="Q11" i="5"/>
  <c r="Q12" i="5"/>
  <c r="Q13" i="5"/>
  <c r="Q14" i="5"/>
  <c r="Q15" i="5"/>
  <c r="Q16" i="5"/>
  <c r="Q17" i="5"/>
  <c r="Q18" i="5"/>
  <c r="Q19" i="5"/>
  <c r="Q20" i="5"/>
  <c r="Q21" i="5"/>
  <c r="Q22" i="5"/>
  <c r="Q23" i="5"/>
  <c r="Q24" i="5"/>
  <c r="Q25" i="5"/>
  <c r="Q26" i="5"/>
  <c r="Q27" i="5"/>
  <c r="Q28" i="5"/>
  <c r="Q29" i="5"/>
  <c r="Q30" i="5"/>
  <c r="Q31" i="5"/>
  <c r="R8" i="5"/>
  <c r="R9" i="5"/>
  <c r="R10" i="5"/>
  <c r="R11" i="5"/>
  <c r="R12" i="5"/>
  <c r="R13" i="5"/>
  <c r="R14" i="5"/>
  <c r="R15" i="5"/>
  <c r="R16" i="5"/>
  <c r="R17" i="5"/>
  <c r="R18" i="5"/>
  <c r="R19" i="5"/>
  <c r="R20" i="5"/>
  <c r="R21" i="5"/>
  <c r="R22" i="5"/>
  <c r="R23" i="5"/>
  <c r="R24" i="5"/>
  <c r="R25" i="5"/>
  <c r="R26" i="5"/>
  <c r="R27" i="5"/>
  <c r="R28" i="5"/>
  <c r="R29" i="5"/>
  <c r="R30" i="5"/>
  <c r="R31" i="5"/>
  <c r="S8" i="5"/>
  <c r="S9" i="5"/>
  <c r="S10" i="5"/>
  <c r="S11" i="5"/>
  <c r="S12" i="5"/>
  <c r="S13" i="5"/>
  <c r="S14" i="5"/>
  <c r="S15" i="5"/>
  <c r="S16" i="5"/>
  <c r="S17" i="5"/>
  <c r="S18" i="5"/>
  <c r="S19" i="5"/>
  <c r="S20" i="5"/>
  <c r="S21" i="5"/>
  <c r="S22" i="5"/>
  <c r="S23" i="5"/>
  <c r="S24" i="5"/>
  <c r="S25" i="5"/>
  <c r="S26" i="5"/>
  <c r="S27" i="5"/>
  <c r="S28" i="5"/>
  <c r="S29" i="5"/>
  <c r="S30" i="5"/>
  <c r="S31" i="5"/>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S8" i="7"/>
  <c r="S9" i="7"/>
  <c r="S10" i="7"/>
  <c r="S11" i="7"/>
  <c r="S12" i="7"/>
  <c r="S13" i="7"/>
  <c r="S14" i="7"/>
  <c r="S15" i="7"/>
  <c r="S16" i="7"/>
  <c r="S17" i="7"/>
  <c r="S18" i="7"/>
  <c r="S19" i="7"/>
  <c r="S20" i="7"/>
  <c r="S21" i="7"/>
  <c r="S22" i="7"/>
  <c r="S23" i="7"/>
  <c r="S24" i="7"/>
  <c r="S25" i="7"/>
  <c r="S26" i="7"/>
  <c r="S27" i="7"/>
  <c r="S39" i="7"/>
  <c r="R8" i="7"/>
  <c r="R9" i="7"/>
  <c r="R10" i="7"/>
  <c r="R11" i="7"/>
  <c r="R12" i="7"/>
  <c r="R13" i="7"/>
  <c r="R14" i="7"/>
  <c r="R15" i="7"/>
  <c r="R16" i="7"/>
  <c r="R17" i="7"/>
  <c r="R18" i="7"/>
  <c r="R19" i="7"/>
  <c r="R20" i="7"/>
  <c r="R21" i="7"/>
  <c r="R22" i="7"/>
  <c r="R23" i="7"/>
  <c r="R24" i="7"/>
  <c r="R25" i="7"/>
  <c r="R26" i="7"/>
  <c r="R27" i="7"/>
  <c r="R39" i="7"/>
  <c r="Q8" i="7"/>
  <c r="Q9" i="7"/>
  <c r="Q10" i="7"/>
  <c r="Q11" i="7"/>
  <c r="Q12" i="7"/>
  <c r="Q13" i="7"/>
  <c r="Q14" i="7"/>
  <c r="Q15" i="7"/>
  <c r="Q16" i="7"/>
  <c r="Q17" i="7"/>
  <c r="Q18" i="7"/>
  <c r="Q19" i="7"/>
  <c r="Q20" i="7"/>
  <c r="Q21" i="7"/>
  <c r="Q22" i="7"/>
  <c r="Q23" i="7"/>
  <c r="Q24" i="7"/>
  <c r="Q25" i="7"/>
  <c r="Q26" i="7"/>
  <c r="Q27" i="7"/>
  <c r="Q39" i="7"/>
  <c r="P8" i="7"/>
  <c r="P9" i="7"/>
  <c r="P10" i="7"/>
  <c r="P11" i="7"/>
  <c r="P12" i="7"/>
  <c r="P13" i="7"/>
  <c r="P14" i="7"/>
  <c r="P15" i="7"/>
  <c r="P16" i="7"/>
  <c r="P17" i="7"/>
  <c r="P18" i="7"/>
  <c r="P19" i="7"/>
  <c r="P20" i="7"/>
  <c r="P21" i="7"/>
  <c r="P22" i="7"/>
  <c r="P23" i="7"/>
  <c r="P24" i="7"/>
  <c r="P25" i="7"/>
  <c r="P26" i="7"/>
  <c r="P27" i="7"/>
  <c r="P39" i="7"/>
  <c r="O8" i="7"/>
  <c r="O9" i="7"/>
  <c r="O10" i="7"/>
  <c r="O11" i="7"/>
  <c r="O12" i="7"/>
  <c r="O13" i="7"/>
  <c r="O14" i="7"/>
  <c r="O15" i="7"/>
  <c r="O16" i="7"/>
  <c r="O17" i="7"/>
  <c r="O18" i="7"/>
  <c r="O19" i="7"/>
  <c r="O20" i="7"/>
  <c r="O21" i="7"/>
  <c r="O22" i="7"/>
  <c r="O23" i="7"/>
  <c r="O24" i="7"/>
  <c r="O25" i="7"/>
  <c r="O26" i="7"/>
  <c r="O27" i="7"/>
  <c r="O39" i="7"/>
  <c r="N8" i="7"/>
  <c r="N9" i="7"/>
  <c r="N10" i="7"/>
  <c r="N11" i="7"/>
  <c r="N12" i="7"/>
  <c r="N13" i="7"/>
  <c r="N14" i="7"/>
  <c r="N15" i="7"/>
  <c r="N16" i="7"/>
  <c r="N17" i="7"/>
  <c r="N18" i="7"/>
  <c r="N19" i="7"/>
  <c r="N20" i="7"/>
  <c r="N21" i="7"/>
  <c r="N22" i="7"/>
  <c r="N23" i="7"/>
  <c r="N24" i="7"/>
  <c r="N25" i="7"/>
  <c r="N26" i="7"/>
  <c r="N27" i="7"/>
  <c r="N39" i="7"/>
  <c r="M8" i="7"/>
  <c r="M9" i="7"/>
  <c r="M10" i="7"/>
  <c r="M11" i="7"/>
  <c r="M12" i="7"/>
  <c r="M13" i="7"/>
  <c r="M14" i="7"/>
  <c r="M15" i="7"/>
  <c r="M16" i="7"/>
  <c r="M17" i="7"/>
  <c r="M18" i="7"/>
  <c r="M19" i="7"/>
  <c r="M20" i="7"/>
  <c r="M21" i="7"/>
  <c r="M22" i="7"/>
  <c r="M23" i="7"/>
  <c r="M24" i="7"/>
  <c r="M25" i="7"/>
  <c r="M26" i="7"/>
  <c r="M27" i="7"/>
  <c r="M39" i="7"/>
  <c r="L8" i="7"/>
  <c r="L9" i="7"/>
  <c r="L10" i="7"/>
  <c r="L11" i="7"/>
  <c r="L12" i="7"/>
  <c r="L13" i="7"/>
  <c r="L14" i="7"/>
  <c r="L15" i="7"/>
  <c r="L16" i="7"/>
  <c r="L17" i="7"/>
  <c r="L18" i="7"/>
  <c r="L19" i="7"/>
  <c r="L20" i="7"/>
  <c r="L21" i="7"/>
  <c r="L22" i="7"/>
  <c r="L23" i="7"/>
  <c r="L24" i="7"/>
  <c r="L25" i="7"/>
  <c r="L26" i="7"/>
  <c r="L27" i="7"/>
  <c r="L39" i="7"/>
  <c r="K8" i="7"/>
  <c r="K9" i="7"/>
  <c r="K10" i="7"/>
  <c r="K11" i="7"/>
  <c r="K12" i="7"/>
  <c r="K13" i="7"/>
  <c r="K14" i="7"/>
  <c r="K15" i="7"/>
  <c r="K16" i="7"/>
  <c r="K17" i="7"/>
  <c r="K18" i="7"/>
  <c r="K19" i="7"/>
  <c r="K20" i="7"/>
  <c r="K21" i="7"/>
  <c r="K22" i="7"/>
  <c r="K23" i="7"/>
  <c r="K24" i="7"/>
  <c r="K25" i="7"/>
  <c r="K26" i="7"/>
  <c r="K27" i="7"/>
  <c r="K39" i="7"/>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S8" i="9"/>
  <c r="S9" i="9"/>
  <c r="S10" i="9"/>
  <c r="S11" i="9"/>
  <c r="S12" i="9"/>
  <c r="S13" i="9"/>
  <c r="S14" i="9"/>
  <c r="S15" i="9"/>
  <c r="S16" i="9"/>
  <c r="S17" i="9"/>
  <c r="S18" i="9"/>
  <c r="S19" i="9"/>
  <c r="S20" i="9"/>
  <c r="S21" i="9"/>
  <c r="S22" i="9"/>
  <c r="S23" i="9"/>
  <c r="S38" i="9"/>
  <c r="S39" i="9"/>
  <c r="R8" i="9"/>
  <c r="R9" i="9"/>
  <c r="R10" i="9"/>
  <c r="R11" i="9"/>
  <c r="R12" i="9"/>
  <c r="R13" i="9"/>
  <c r="R14" i="9"/>
  <c r="R15" i="9"/>
  <c r="R16" i="9"/>
  <c r="R17" i="9"/>
  <c r="R18" i="9"/>
  <c r="R19" i="9"/>
  <c r="R20" i="9"/>
  <c r="R21" i="9"/>
  <c r="R22" i="9"/>
  <c r="R23" i="9"/>
  <c r="R38" i="9"/>
  <c r="R39" i="9"/>
  <c r="Q8" i="9"/>
  <c r="Q9" i="9"/>
  <c r="Q10" i="9"/>
  <c r="Q11" i="9"/>
  <c r="Q12" i="9"/>
  <c r="Q13" i="9"/>
  <c r="Q14" i="9"/>
  <c r="Q15" i="9"/>
  <c r="Q16" i="9"/>
  <c r="Q17" i="9"/>
  <c r="Q18" i="9"/>
  <c r="Q19" i="9"/>
  <c r="Q20" i="9"/>
  <c r="Q21" i="9"/>
  <c r="Q22" i="9"/>
  <c r="Q23" i="9"/>
  <c r="Q38" i="9"/>
  <c r="Q39" i="9"/>
  <c r="P8" i="9"/>
  <c r="P9" i="9"/>
  <c r="P10" i="9"/>
  <c r="P11" i="9"/>
  <c r="P12" i="9"/>
  <c r="P13" i="9"/>
  <c r="P14" i="9"/>
  <c r="P15" i="9"/>
  <c r="P16" i="9"/>
  <c r="P17" i="9"/>
  <c r="P18" i="9"/>
  <c r="P19" i="9"/>
  <c r="P20" i="9"/>
  <c r="P21" i="9"/>
  <c r="P22" i="9"/>
  <c r="P23" i="9"/>
  <c r="P38" i="9"/>
  <c r="P39" i="9"/>
  <c r="O8" i="9"/>
  <c r="O9" i="9"/>
  <c r="O10" i="9"/>
  <c r="O11" i="9"/>
  <c r="O12" i="9"/>
  <c r="O13" i="9"/>
  <c r="O14" i="9"/>
  <c r="O15" i="9"/>
  <c r="O16" i="9"/>
  <c r="O17" i="9"/>
  <c r="O18" i="9"/>
  <c r="O19" i="9"/>
  <c r="O20" i="9"/>
  <c r="O21" i="9"/>
  <c r="O22" i="9"/>
  <c r="O23" i="9"/>
  <c r="O38" i="9"/>
  <c r="O39" i="9"/>
  <c r="N8" i="9"/>
  <c r="N9" i="9"/>
  <c r="N10" i="9"/>
  <c r="N11" i="9"/>
  <c r="N12" i="9"/>
  <c r="N13" i="9"/>
  <c r="N14" i="9"/>
  <c r="N15" i="9"/>
  <c r="N16" i="9"/>
  <c r="N17" i="9"/>
  <c r="N18" i="9"/>
  <c r="N19" i="9"/>
  <c r="N20" i="9"/>
  <c r="N21" i="9"/>
  <c r="N22" i="9"/>
  <c r="N23" i="9"/>
  <c r="N38" i="9"/>
  <c r="N39" i="9"/>
  <c r="M8" i="9"/>
  <c r="M9" i="9"/>
  <c r="M10" i="9"/>
  <c r="M11" i="9"/>
  <c r="M12" i="9"/>
  <c r="M13" i="9"/>
  <c r="M14" i="9"/>
  <c r="M15" i="9"/>
  <c r="M16" i="9"/>
  <c r="M17" i="9"/>
  <c r="M18" i="9"/>
  <c r="M19" i="9"/>
  <c r="M20" i="9"/>
  <c r="M21" i="9"/>
  <c r="M22" i="9"/>
  <c r="M23" i="9"/>
  <c r="M38" i="9"/>
  <c r="M39" i="9"/>
  <c r="L8" i="9"/>
  <c r="L9" i="9"/>
  <c r="L10" i="9"/>
  <c r="L11" i="9"/>
  <c r="L12" i="9"/>
  <c r="L13" i="9"/>
  <c r="L14" i="9"/>
  <c r="L15" i="9"/>
  <c r="L16" i="9"/>
  <c r="L17" i="9"/>
  <c r="L18" i="9"/>
  <c r="L19" i="9"/>
  <c r="L20" i="9"/>
  <c r="L21" i="9"/>
  <c r="L22" i="9"/>
  <c r="L23" i="9"/>
  <c r="L38" i="9"/>
  <c r="L39" i="9"/>
  <c r="K8" i="9"/>
  <c r="K9" i="9"/>
  <c r="K10" i="9"/>
  <c r="K11" i="9"/>
  <c r="K12" i="9"/>
  <c r="K13" i="9"/>
  <c r="K14" i="9"/>
  <c r="K15" i="9"/>
  <c r="K16" i="9"/>
  <c r="K17" i="9"/>
  <c r="K18" i="9"/>
  <c r="K19" i="9"/>
  <c r="K20" i="9"/>
  <c r="K21" i="9"/>
  <c r="K22" i="9"/>
  <c r="K23" i="9"/>
  <c r="K38" i="9"/>
  <c r="K39" i="9"/>
  <c r="K8" i="10"/>
  <c r="K9" i="10"/>
  <c r="K10" i="10"/>
  <c r="K11" i="10"/>
  <c r="K12" i="10"/>
  <c r="K13" i="10"/>
  <c r="K14" i="10"/>
  <c r="K15" i="10"/>
  <c r="K16" i="10"/>
  <c r="K17" i="10"/>
  <c r="K18" i="10"/>
  <c r="K19" i="10"/>
  <c r="K20" i="10"/>
  <c r="K21" i="10"/>
  <c r="K22" i="10"/>
  <c r="K39" i="10"/>
  <c r="L8" i="10"/>
  <c r="L9" i="10"/>
  <c r="L10" i="10"/>
  <c r="L11" i="10"/>
  <c r="L12" i="10"/>
  <c r="L13" i="10"/>
  <c r="L14" i="10"/>
  <c r="L15" i="10"/>
  <c r="L16" i="10"/>
  <c r="L17" i="10"/>
  <c r="L18" i="10"/>
  <c r="L19" i="10"/>
  <c r="L20" i="10"/>
  <c r="L21" i="10"/>
  <c r="L22" i="10"/>
  <c r="L39" i="10"/>
  <c r="M8" i="10"/>
  <c r="M9" i="10"/>
  <c r="M10" i="10"/>
  <c r="M11" i="10"/>
  <c r="M12" i="10"/>
  <c r="M13" i="10"/>
  <c r="M14" i="10"/>
  <c r="M15" i="10"/>
  <c r="M16" i="10"/>
  <c r="M17" i="10"/>
  <c r="M18" i="10"/>
  <c r="M19" i="10"/>
  <c r="M20" i="10"/>
  <c r="M21" i="10"/>
  <c r="M22" i="10"/>
  <c r="M39" i="10"/>
  <c r="N9" i="10"/>
  <c r="N10" i="10"/>
  <c r="N11" i="10"/>
  <c r="N12" i="10"/>
  <c r="N13" i="10"/>
  <c r="N14" i="10"/>
  <c r="N15" i="10"/>
  <c r="N16" i="10"/>
  <c r="N17" i="10"/>
  <c r="N18" i="10"/>
  <c r="N19" i="10"/>
  <c r="N20" i="10"/>
  <c r="N21" i="10"/>
  <c r="N22" i="10"/>
  <c r="N39" i="10"/>
  <c r="O8" i="10"/>
  <c r="O9" i="10"/>
  <c r="O10" i="10"/>
  <c r="O11" i="10"/>
  <c r="O12" i="10"/>
  <c r="O13" i="10"/>
  <c r="O14" i="10"/>
  <c r="O15" i="10"/>
  <c r="O16" i="10"/>
  <c r="O17" i="10"/>
  <c r="O18" i="10"/>
  <c r="O19" i="10"/>
  <c r="O20" i="10"/>
  <c r="O21" i="10"/>
  <c r="O22" i="10"/>
  <c r="O39" i="10"/>
  <c r="P8" i="10"/>
  <c r="P9" i="10"/>
  <c r="P10" i="10"/>
  <c r="P11" i="10"/>
  <c r="P12" i="10"/>
  <c r="P13" i="10"/>
  <c r="P14" i="10"/>
  <c r="P15" i="10"/>
  <c r="P16" i="10"/>
  <c r="P17" i="10"/>
  <c r="P18" i="10"/>
  <c r="P19" i="10"/>
  <c r="P20" i="10"/>
  <c r="P21" i="10"/>
  <c r="P22" i="10"/>
  <c r="P39" i="10"/>
  <c r="Q8" i="10"/>
  <c r="Q9" i="10"/>
  <c r="Q10" i="10"/>
  <c r="Q11" i="10"/>
  <c r="Q12" i="10"/>
  <c r="Q13" i="10"/>
  <c r="Q14" i="10"/>
  <c r="Q15" i="10"/>
  <c r="Q16" i="10"/>
  <c r="Q17" i="10"/>
  <c r="Q18" i="10"/>
  <c r="Q19" i="10"/>
  <c r="Q20" i="10"/>
  <c r="Q21" i="10"/>
  <c r="Q22" i="10"/>
  <c r="Q39" i="10"/>
  <c r="R8" i="10"/>
  <c r="R9" i="10"/>
  <c r="R10" i="10"/>
  <c r="R11" i="10"/>
  <c r="R12" i="10"/>
  <c r="R13" i="10"/>
  <c r="R14" i="10"/>
  <c r="R15" i="10"/>
  <c r="R16" i="10"/>
  <c r="R17" i="10"/>
  <c r="R18" i="10"/>
  <c r="R19" i="10"/>
  <c r="R20" i="10"/>
  <c r="R21" i="10"/>
  <c r="R22" i="10"/>
  <c r="R39" i="10"/>
  <c r="S8" i="10"/>
  <c r="S9" i="10"/>
  <c r="S10" i="10"/>
  <c r="S11" i="10"/>
  <c r="S12" i="10"/>
  <c r="S13" i="10"/>
  <c r="S14" i="10"/>
  <c r="S15" i="10"/>
  <c r="S16" i="10"/>
  <c r="S17" i="10"/>
  <c r="S18" i="10"/>
  <c r="S19" i="10"/>
  <c r="S20" i="10"/>
  <c r="S21" i="10"/>
  <c r="S22" i="10"/>
  <c r="S39" i="10"/>
  <c r="H9" i="3"/>
  <c r="H10" i="3"/>
  <c r="H11" i="3"/>
  <c r="H12" i="3"/>
  <c r="H13" i="3"/>
  <c r="H14" i="3"/>
  <c r="H15" i="3"/>
  <c r="H16" i="3"/>
  <c r="H17" i="3"/>
  <c r="H18" i="3"/>
  <c r="H19" i="3"/>
  <c r="K9" i="3"/>
  <c r="K10" i="3"/>
  <c r="K11" i="3"/>
  <c r="K12" i="3"/>
  <c r="K13" i="3"/>
  <c r="K14" i="3"/>
  <c r="K15" i="3"/>
  <c r="K16" i="3"/>
  <c r="K17" i="3"/>
  <c r="K18" i="3"/>
  <c r="K19" i="3"/>
  <c r="L9" i="3"/>
  <c r="L10" i="3"/>
  <c r="L11" i="3"/>
  <c r="L12" i="3"/>
  <c r="L13" i="3"/>
  <c r="L14" i="3"/>
  <c r="L15" i="3"/>
  <c r="L16" i="3"/>
  <c r="L17" i="3"/>
  <c r="L18" i="3"/>
  <c r="L19" i="3"/>
  <c r="M9" i="3"/>
  <c r="M10" i="3"/>
  <c r="M11" i="3"/>
  <c r="M12" i="3"/>
  <c r="M13" i="3"/>
  <c r="M14" i="3"/>
  <c r="M15" i="3"/>
  <c r="M16" i="3"/>
  <c r="M17" i="3"/>
  <c r="M18" i="3"/>
  <c r="M19" i="3"/>
  <c r="N9" i="3"/>
  <c r="N10" i="3"/>
  <c r="N11" i="3"/>
  <c r="N12" i="3"/>
  <c r="N13" i="3"/>
  <c r="N14" i="3"/>
  <c r="N15" i="3"/>
  <c r="N16" i="3"/>
  <c r="N17" i="3"/>
  <c r="N18" i="3"/>
  <c r="N19" i="3"/>
  <c r="O9" i="3"/>
  <c r="O10" i="3"/>
  <c r="O11" i="3"/>
  <c r="O12" i="3"/>
  <c r="O13" i="3"/>
  <c r="O14" i="3"/>
  <c r="O15" i="3"/>
  <c r="O16" i="3"/>
  <c r="O17" i="3"/>
  <c r="O18" i="3"/>
  <c r="O19" i="3"/>
  <c r="P9" i="3"/>
  <c r="P10" i="3"/>
  <c r="P11" i="3"/>
  <c r="P12" i="3"/>
  <c r="P13" i="3"/>
  <c r="P14" i="3"/>
  <c r="P15" i="3"/>
  <c r="P16" i="3"/>
  <c r="P17" i="3"/>
  <c r="P18" i="3"/>
  <c r="P19" i="3"/>
  <c r="Q9" i="3"/>
  <c r="Q10" i="3"/>
  <c r="Q11" i="3"/>
  <c r="Q12" i="3"/>
  <c r="Q13" i="3"/>
  <c r="Q14" i="3"/>
  <c r="Q15" i="3"/>
  <c r="Q16" i="3"/>
  <c r="Q17" i="3"/>
  <c r="Q18" i="3"/>
  <c r="Q19" i="3"/>
  <c r="R9" i="3"/>
  <c r="R10" i="3"/>
  <c r="R11" i="3"/>
  <c r="R12" i="3"/>
  <c r="R13" i="3"/>
  <c r="R14" i="3"/>
  <c r="R15" i="3"/>
  <c r="R16" i="3"/>
  <c r="R17" i="3"/>
  <c r="R18" i="3"/>
  <c r="R19" i="3"/>
  <c r="S9" i="3"/>
  <c r="S10" i="3"/>
  <c r="S11" i="3"/>
  <c r="S12" i="3"/>
  <c r="S13" i="3"/>
  <c r="S14" i="3"/>
  <c r="S15" i="3"/>
  <c r="S16" i="3"/>
  <c r="S17" i="3"/>
  <c r="S18" i="3"/>
  <c r="S19" i="3"/>
  <c r="H8" i="2"/>
  <c r="H9" i="2"/>
  <c r="H10" i="2"/>
  <c r="H11" i="2"/>
  <c r="H12" i="2"/>
  <c r="H13" i="2"/>
  <c r="H14" i="2"/>
  <c r="H15" i="2"/>
  <c r="H16" i="2"/>
  <c r="H17" i="2"/>
  <c r="H18" i="2"/>
  <c r="S8" i="1"/>
  <c r="S9" i="1"/>
  <c r="S10" i="1"/>
  <c r="S11" i="1"/>
  <c r="S12" i="1"/>
  <c r="S13" i="1"/>
  <c r="S14" i="1"/>
  <c r="S15" i="1"/>
  <c r="S16" i="1"/>
  <c r="S17" i="1"/>
  <c r="S18" i="1"/>
  <c r="S19" i="1"/>
  <c r="S20" i="1"/>
  <c r="S21" i="1"/>
  <c r="S22" i="1"/>
  <c r="S29" i="1"/>
  <c r="S30" i="1"/>
  <c r="S31" i="1"/>
  <c r="S32" i="1"/>
  <c r="S33" i="1"/>
  <c r="S34" i="1"/>
  <c r="S35" i="1"/>
  <c r="S36" i="1"/>
  <c r="S37" i="1"/>
  <c r="S38" i="1"/>
  <c r="S39" i="1"/>
  <c r="R8" i="1"/>
  <c r="R9" i="1"/>
  <c r="R10" i="1"/>
  <c r="R11" i="1"/>
  <c r="R12" i="1"/>
  <c r="R13" i="1"/>
  <c r="R14" i="1"/>
  <c r="R15" i="1"/>
  <c r="R16" i="1"/>
  <c r="R17" i="1"/>
  <c r="R18" i="1"/>
  <c r="R19" i="1"/>
  <c r="R20" i="1"/>
  <c r="R21" i="1"/>
  <c r="R22" i="1"/>
  <c r="R29" i="1"/>
  <c r="R30" i="1"/>
  <c r="R31" i="1"/>
  <c r="R32" i="1"/>
  <c r="R33" i="1"/>
  <c r="R34" i="1"/>
  <c r="R35" i="1"/>
  <c r="R36" i="1"/>
  <c r="R37" i="1"/>
  <c r="R38" i="1"/>
  <c r="R39" i="1"/>
  <c r="Q8" i="1"/>
  <c r="Q9" i="1"/>
  <c r="Q10" i="1"/>
  <c r="Q11" i="1"/>
  <c r="Q12" i="1"/>
  <c r="Q13" i="1"/>
  <c r="Q14" i="1"/>
  <c r="Q15" i="1"/>
  <c r="Q16" i="1"/>
  <c r="Q17" i="1"/>
  <c r="Q18" i="1"/>
  <c r="Q19" i="1"/>
  <c r="Q20" i="1"/>
  <c r="Q21" i="1"/>
  <c r="Q22" i="1"/>
  <c r="Q29" i="1"/>
  <c r="Q30" i="1"/>
  <c r="Q31" i="1"/>
  <c r="Q32" i="1"/>
  <c r="Q33" i="1"/>
  <c r="Q34" i="1"/>
  <c r="Q35" i="1"/>
  <c r="Q36" i="1"/>
  <c r="Q37" i="1"/>
  <c r="Q38" i="1"/>
  <c r="Q39" i="1"/>
  <c r="O8" i="1"/>
  <c r="O9" i="1"/>
  <c r="O10" i="1"/>
  <c r="O11" i="1"/>
  <c r="O12" i="1"/>
  <c r="O13" i="1"/>
  <c r="O14" i="1"/>
  <c r="O15" i="1"/>
  <c r="O16" i="1"/>
  <c r="O17" i="1"/>
  <c r="O18" i="1"/>
  <c r="O19" i="1"/>
  <c r="O20" i="1"/>
  <c r="O21" i="1"/>
  <c r="O22" i="1"/>
  <c r="O29" i="1"/>
  <c r="O30" i="1"/>
  <c r="O31" i="1"/>
  <c r="O32" i="1"/>
  <c r="O33" i="1"/>
  <c r="O34" i="1"/>
  <c r="O35" i="1"/>
  <c r="O36" i="1"/>
  <c r="O37" i="1"/>
  <c r="O38" i="1"/>
  <c r="O39" i="1"/>
  <c r="P8" i="1"/>
  <c r="P9" i="1"/>
  <c r="P10" i="1"/>
  <c r="P11" i="1"/>
  <c r="P12" i="1"/>
  <c r="P13" i="1"/>
  <c r="P14" i="1"/>
  <c r="P15" i="1"/>
  <c r="P16" i="1"/>
  <c r="P17" i="1"/>
  <c r="P18" i="1"/>
  <c r="P19" i="1"/>
  <c r="P20" i="1"/>
  <c r="P21" i="1"/>
  <c r="P22" i="1"/>
  <c r="P29" i="1"/>
  <c r="P30" i="1"/>
  <c r="P31" i="1"/>
  <c r="P32" i="1"/>
  <c r="P33" i="1"/>
  <c r="P34" i="1"/>
  <c r="P35" i="1"/>
  <c r="P36" i="1"/>
  <c r="P37" i="1"/>
  <c r="P38" i="1"/>
  <c r="P39" i="1"/>
  <c r="N9" i="1"/>
  <c r="N10" i="1"/>
  <c r="N11" i="1"/>
  <c r="N12" i="1"/>
  <c r="N13" i="1"/>
  <c r="N14" i="1"/>
  <c r="N15" i="1"/>
  <c r="N16" i="1"/>
  <c r="N17" i="1"/>
  <c r="N18" i="1"/>
  <c r="N19" i="1"/>
  <c r="N20" i="1"/>
  <c r="N21" i="1"/>
  <c r="N22" i="1"/>
  <c r="N29" i="1"/>
  <c r="N30" i="1"/>
  <c r="N31" i="1"/>
  <c r="N32" i="1"/>
  <c r="N33" i="1"/>
  <c r="N34" i="1"/>
  <c r="N35" i="1"/>
  <c r="N36" i="1"/>
  <c r="N37" i="1"/>
  <c r="N38" i="1"/>
  <c r="N39" i="1"/>
  <c r="M9" i="1"/>
  <c r="M10" i="1"/>
  <c r="M11" i="1"/>
  <c r="M12" i="1"/>
  <c r="M13" i="1"/>
  <c r="M14" i="1"/>
  <c r="M15" i="1"/>
  <c r="M16" i="1"/>
  <c r="M17" i="1"/>
  <c r="M18" i="1"/>
  <c r="M19" i="1"/>
  <c r="M20" i="1"/>
  <c r="M21" i="1"/>
  <c r="M22" i="1"/>
  <c r="M29" i="1"/>
  <c r="M30" i="1"/>
  <c r="M31" i="1"/>
  <c r="M32" i="1"/>
  <c r="M33" i="1"/>
  <c r="M34" i="1"/>
  <c r="M35" i="1"/>
  <c r="M36" i="1"/>
  <c r="M37" i="1"/>
  <c r="M38" i="1"/>
  <c r="M39" i="1"/>
  <c r="L9" i="1"/>
  <c r="L10" i="1"/>
  <c r="L11" i="1"/>
  <c r="L12" i="1"/>
  <c r="L13" i="1"/>
  <c r="L14" i="1"/>
  <c r="L15" i="1"/>
  <c r="L16" i="1"/>
  <c r="L17" i="1"/>
  <c r="L18" i="1"/>
  <c r="L19" i="1"/>
  <c r="L20" i="1"/>
  <c r="L21" i="1"/>
  <c r="L22" i="1"/>
  <c r="L29" i="1"/>
  <c r="L30" i="1"/>
  <c r="L31" i="1"/>
  <c r="L32" i="1"/>
  <c r="L33" i="1"/>
  <c r="L34" i="1"/>
  <c r="L35" i="1"/>
  <c r="L36" i="1"/>
  <c r="L37" i="1"/>
  <c r="L38" i="1"/>
  <c r="L39" i="1"/>
  <c r="K9" i="1"/>
  <c r="K10" i="1"/>
  <c r="K11" i="1"/>
  <c r="K12" i="1"/>
  <c r="K13" i="1"/>
  <c r="K14" i="1"/>
  <c r="K15" i="1"/>
  <c r="K16" i="1"/>
  <c r="K17" i="1"/>
  <c r="K18" i="1"/>
  <c r="K19" i="1"/>
  <c r="K20" i="1"/>
  <c r="K21" i="1"/>
  <c r="K22" i="1"/>
  <c r="K29" i="1"/>
  <c r="K30" i="1"/>
  <c r="K31" i="1"/>
  <c r="K32" i="1"/>
  <c r="K33" i="1"/>
  <c r="K34" i="1"/>
  <c r="K35" i="1"/>
  <c r="K36" i="1"/>
  <c r="K37" i="1"/>
  <c r="K38" i="1"/>
  <c r="K39" i="1"/>
  <c r="M8" i="1"/>
  <c r="H8" i="3"/>
  <c r="N8" i="3" s="1"/>
  <c r="H20" i="3"/>
  <c r="H21" i="3"/>
  <c r="H22" i="3"/>
  <c r="H23" i="3"/>
  <c r="H24" i="3"/>
  <c r="H25" i="3"/>
  <c r="H26" i="3"/>
  <c r="H27" i="3"/>
  <c r="H28" i="3"/>
  <c r="H29" i="3"/>
  <c r="H30" i="3"/>
  <c r="H31" i="3"/>
  <c r="H32" i="3"/>
  <c r="H33" i="3"/>
  <c r="H34" i="3"/>
  <c r="H35" i="3"/>
  <c r="H36" i="3"/>
  <c r="H37" i="3"/>
  <c r="H38" i="3"/>
  <c r="H39" i="3"/>
  <c r="M8" i="3"/>
  <c r="R8" i="3"/>
  <c r="R20" i="3"/>
  <c r="R21" i="3"/>
  <c r="R22" i="3"/>
  <c r="R23" i="3"/>
  <c r="R24" i="3"/>
  <c r="R25" i="3"/>
  <c r="R26" i="3"/>
  <c r="R27" i="3"/>
  <c r="R28" i="3"/>
  <c r="R29" i="3"/>
  <c r="R30" i="3"/>
  <c r="R31" i="3"/>
  <c r="R32" i="3"/>
  <c r="R33" i="3"/>
  <c r="R34" i="3"/>
  <c r="R35" i="3"/>
  <c r="R36" i="3"/>
  <c r="R37" i="3"/>
  <c r="R38" i="3"/>
  <c r="R39" i="3"/>
  <c r="S8" i="3"/>
  <c r="S20" i="3"/>
  <c r="S21" i="3"/>
  <c r="S22" i="3"/>
  <c r="S23" i="3"/>
  <c r="S24" i="3"/>
  <c r="S25" i="3"/>
  <c r="S26" i="3"/>
  <c r="S27" i="3"/>
  <c r="S28" i="3"/>
  <c r="S29" i="3"/>
  <c r="S30" i="3"/>
  <c r="S31" i="3"/>
  <c r="S32" i="3"/>
  <c r="S33" i="3"/>
  <c r="S34" i="3"/>
  <c r="S35" i="3"/>
  <c r="S36" i="3"/>
  <c r="S37" i="3"/>
  <c r="S38" i="3"/>
  <c r="S39" i="3"/>
  <c r="Q8" i="3"/>
  <c r="Q20" i="3"/>
  <c r="Q21" i="3"/>
  <c r="Q22" i="3"/>
  <c r="Q23" i="3"/>
  <c r="Q24" i="3"/>
  <c r="Q25" i="3"/>
  <c r="Q26" i="3"/>
  <c r="Q27" i="3"/>
  <c r="Q28" i="3"/>
  <c r="Q29" i="3"/>
  <c r="Q30" i="3"/>
  <c r="Q31" i="3"/>
  <c r="Q32" i="3"/>
  <c r="Q33" i="3"/>
  <c r="Q34" i="3"/>
  <c r="Q35" i="3"/>
  <c r="Q36" i="3"/>
  <c r="Q37" i="3"/>
  <c r="Q38" i="3"/>
  <c r="Q39" i="3"/>
  <c r="P8" i="3"/>
  <c r="P20" i="3"/>
  <c r="P21" i="3"/>
  <c r="P22" i="3"/>
  <c r="P23" i="3"/>
  <c r="P24" i="3"/>
  <c r="P25" i="3"/>
  <c r="P26" i="3"/>
  <c r="P27" i="3"/>
  <c r="P28" i="3"/>
  <c r="P29" i="3"/>
  <c r="P30" i="3"/>
  <c r="P31" i="3"/>
  <c r="P32" i="3"/>
  <c r="P33" i="3"/>
  <c r="P34" i="3"/>
  <c r="P35" i="3"/>
  <c r="P36" i="3"/>
  <c r="P37" i="3"/>
  <c r="P38" i="3"/>
  <c r="P39" i="3"/>
  <c r="O8" i="3"/>
  <c r="O20" i="3"/>
  <c r="O21" i="3"/>
  <c r="O22" i="3"/>
  <c r="O23" i="3"/>
  <c r="O24" i="3"/>
  <c r="O25" i="3"/>
  <c r="O26" i="3"/>
  <c r="O27" i="3"/>
  <c r="O28" i="3"/>
  <c r="O29" i="3"/>
  <c r="O30" i="3"/>
  <c r="O31" i="3"/>
  <c r="O32" i="3"/>
  <c r="O33" i="3"/>
  <c r="O34" i="3"/>
  <c r="O35" i="3"/>
  <c r="O36" i="3"/>
  <c r="O37" i="3"/>
  <c r="O38" i="3"/>
  <c r="O39" i="3"/>
  <c r="N20" i="3"/>
  <c r="N21" i="3"/>
  <c r="N22" i="3"/>
  <c r="N23" i="3"/>
  <c r="N24" i="3"/>
  <c r="N25" i="3"/>
  <c r="N26" i="3"/>
  <c r="N27" i="3"/>
  <c r="N28" i="3"/>
  <c r="N29" i="3"/>
  <c r="N30" i="3"/>
  <c r="N31" i="3"/>
  <c r="N32" i="3"/>
  <c r="N33" i="3"/>
  <c r="N34" i="3"/>
  <c r="N35" i="3"/>
  <c r="N36" i="3"/>
  <c r="N37" i="3"/>
  <c r="N38" i="3"/>
  <c r="N39" i="3"/>
  <c r="H9" i="1"/>
  <c r="H10" i="1"/>
  <c r="H11" i="1"/>
  <c r="H12" i="1"/>
  <c r="H13" i="1"/>
  <c r="H14" i="1"/>
  <c r="H15" i="1"/>
  <c r="H16" i="1"/>
  <c r="H17" i="1"/>
  <c r="H18" i="1"/>
  <c r="H19" i="1"/>
  <c r="H20" i="1"/>
  <c r="H21" i="1"/>
  <c r="H22" i="1"/>
  <c r="H29" i="1"/>
  <c r="H30" i="1"/>
  <c r="H31" i="1"/>
  <c r="H32" i="1"/>
  <c r="H33" i="1"/>
  <c r="H34" i="1"/>
  <c r="H35" i="1"/>
  <c r="H36" i="1"/>
  <c r="H37" i="1"/>
  <c r="H38" i="1"/>
  <c r="H39" i="1"/>
  <c r="U40" i="8" l="1"/>
  <c r="N18" i="13" s="1"/>
  <c r="U40" i="10"/>
  <c r="N20" i="13" s="1"/>
  <c r="N40" i="10"/>
  <c r="V40" i="10"/>
  <c r="O20" i="13" s="1"/>
  <c r="O40" i="10"/>
  <c r="T40" i="10"/>
  <c r="M20" i="13" s="1"/>
  <c r="Q40" i="10"/>
  <c r="M40" i="10"/>
  <c r="S40" i="10"/>
  <c r="L20" i="13" s="1"/>
  <c r="P40" i="10"/>
  <c r="L40" i="10"/>
  <c r="R40" i="10"/>
  <c r="K20" i="13" s="1"/>
  <c r="P40" i="9"/>
  <c r="V40" i="9"/>
  <c r="O19" i="13" s="1"/>
  <c r="Q40" i="9"/>
  <c r="T40" i="9"/>
  <c r="M19" i="13" s="1"/>
  <c r="L40" i="9"/>
  <c r="N40" i="9"/>
  <c r="R40" i="9"/>
  <c r="M40" i="9"/>
  <c r="O40" i="9"/>
  <c r="U40" i="9"/>
  <c r="N19" i="13" s="1"/>
  <c r="S40" i="9"/>
  <c r="L19" i="13" s="1"/>
  <c r="S40" i="8"/>
  <c r="R40" i="8"/>
  <c r="L40" i="8"/>
  <c r="Q40" i="8"/>
  <c r="P40" i="8"/>
  <c r="O40" i="8"/>
  <c r="V40" i="8"/>
  <c r="O18" i="13" s="1"/>
  <c r="N40" i="8"/>
  <c r="M40" i="8"/>
  <c r="T40" i="8"/>
  <c r="M18" i="13" s="1"/>
  <c r="S40" i="7"/>
  <c r="L17" i="13" s="1"/>
  <c r="V40" i="7"/>
  <c r="O17" i="13" s="1"/>
  <c r="N40" i="7"/>
  <c r="G17" i="13" s="1"/>
  <c r="R40" i="7"/>
  <c r="K17" i="13" s="1"/>
  <c r="T40" i="7"/>
  <c r="M17" i="13" s="1"/>
  <c r="Q40" i="7"/>
  <c r="J17" i="13" s="1"/>
  <c r="P40" i="7"/>
  <c r="I17" i="13" s="1"/>
  <c r="M40" i="7"/>
  <c r="O40" i="7"/>
  <c r="H17" i="13" s="1"/>
  <c r="L40" i="7"/>
  <c r="U40" i="7"/>
  <c r="N17" i="13" s="1"/>
  <c r="Q40" i="6"/>
  <c r="L40" i="6"/>
  <c r="S40" i="6"/>
  <c r="L16" i="13" s="1"/>
  <c r="N40" i="6"/>
  <c r="P40" i="6"/>
  <c r="T40" i="6"/>
  <c r="M16" i="13" s="1"/>
  <c r="O40" i="6"/>
  <c r="R40" i="6"/>
  <c r="K16" i="13" s="1"/>
  <c r="U40" i="6"/>
  <c r="N16" i="13" s="1"/>
  <c r="M40" i="6"/>
  <c r="V40" i="6"/>
  <c r="O16" i="13" s="1"/>
  <c r="M40" i="5"/>
  <c r="Q40" i="5"/>
  <c r="J15" i="13" s="1"/>
  <c r="L40" i="5"/>
  <c r="P40" i="5"/>
  <c r="I15" i="13" s="1"/>
  <c r="S40" i="5"/>
  <c r="L15" i="13" s="1"/>
  <c r="O40" i="5"/>
  <c r="H15" i="13" s="1"/>
  <c r="N40" i="5"/>
  <c r="R40" i="5"/>
  <c r="K15" i="13" s="1"/>
  <c r="V40" i="5"/>
  <c r="O15" i="13" s="1"/>
  <c r="T40" i="5"/>
  <c r="M15" i="13" s="1"/>
  <c r="U40" i="5"/>
  <c r="N15" i="13" s="1"/>
  <c r="V40" i="4"/>
  <c r="O14" i="13" s="1"/>
  <c r="U40" i="4"/>
  <c r="N14" i="13" s="1"/>
  <c r="T40" i="4"/>
  <c r="M14" i="13" s="1"/>
  <c r="N40" i="4"/>
  <c r="L40" i="4"/>
  <c r="E14" i="13" s="1"/>
  <c r="M40" i="4"/>
  <c r="F14" i="13" s="1"/>
  <c r="O40" i="4"/>
  <c r="P40" i="4"/>
  <c r="Q40" i="4"/>
  <c r="S40" i="4"/>
  <c r="L14" i="13" s="1"/>
  <c r="R40" i="4"/>
  <c r="Q40" i="3"/>
  <c r="V40" i="3"/>
  <c r="O13" i="13" s="1"/>
  <c r="T40" i="3"/>
  <c r="M13" i="13" s="1"/>
  <c r="O40" i="3"/>
  <c r="U40" i="3"/>
  <c r="N13" i="13" s="1"/>
  <c r="R40" i="3"/>
  <c r="P40" i="3"/>
  <c r="N40" i="3"/>
  <c r="S40" i="3"/>
  <c r="L13" i="13" s="1"/>
  <c r="U40" i="2"/>
  <c r="N12" i="13" s="1"/>
  <c r="V40" i="2"/>
  <c r="O12" i="13" s="1"/>
  <c r="T40" i="2"/>
  <c r="M12" i="13" s="1"/>
  <c r="L40" i="2"/>
  <c r="R40" i="2"/>
  <c r="K12" i="13" s="1"/>
  <c r="Q40" i="2"/>
  <c r="J12" i="13" s="1"/>
  <c r="S40" i="2"/>
  <c r="L12" i="13" s="1"/>
  <c r="V40" i="1"/>
  <c r="O11" i="13" s="1"/>
  <c r="U40" i="1"/>
  <c r="N11" i="13" s="1"/>
  <c r="P40" i="1"/>
  <c r="I11" i="13" s="1"/>
  <c r="O40" i="1"/>
  <c r="Q40" i="1"/>
  <c r="M40" i="1"/>
  <c r="R40" i="1"/>
  <c r="K11" i="13" s="1"/>
  <c r="N40" i="1"/>
  <c r="G11" i="13" s="1"/>
  <c r="T40" i="1"/>
  <c r="M11" i="13" s="1"/>
  <c r="L40" i="1"/>
  <c r="S40" i="1"/>
  <c r="L11" i="13" s="1"/>
  <c r="P40" i="2"/>
  <c r="I12" i="13" s="1"/>
  <c r="M40" i="2"/>
  <c r="F12" i="13" s="1"/>
  <c r="N40" i="2"/>
  <c r="G12" i="13" s="1"/>
  <c r="O40" i="2"/>
  <c r="H12" i="13" s="1"/>
  <c r="G15" i="13"/>
  <c r="K40" i="7"/>
  <c r="K40" i="8"/>
  <c r="T40" i="14"/>
  <c r="M21" i="13" s="1"/>
  <c r="V40" i="14"/>
  <c r="O21" i="13" s="1"/>
  <c r="U40" i="14"/>
  <c r="N21" i="13" s="1"/>
  <c r="M40" i="14"/>
  <c r="F21" i="13" s="1"/>
  <c r="R40" i="14"/>
  <c r="K21" i="13" s="1"/>
  <c r="S40" i="14"/>
  <c r="L21" i="13" s="1"/>
  <c r="K40" i="1"/>
  <c r="N40" i="14"/>
  <c r="G21" i="13" s="1"/>
  <c r="O40" i="14"/>
  <c r="H21" i="13" s="1"/>
  <c r="P40" i="14"/>
  <c r="I21" i="13" s="1"/>
  <c r="Q40" i="14"/>
  <c r="J21" i="13" s="1"/>
  <c r="K40" i="14"/>
  <c r="D21" i="13" s="1"/>
  <c r="L40" i="14"/>
  <c r="E21" i="13" s="1"/>
  <c r="O22" i="13" l="1"/>
  <c r="M22" i="13"/>
  <c r="N22" i="13"/>
  <c r="F20" i="13"/>
  <c r="G20" i="13"/>
  <c r="H20" i="13"/>
  <c r="I20" i="13"/>
  <c r="J20" i="13"/>
  <c r="E20" i="13"/>
  <c r="K40" i="10"/>
  <c r="D20" i="13" s="1"/>
  <c r="K19" i="13"/>
  <c r="J19" i="13"/>
  <c r="H19" i="13"/>
  <c r="G19" i="13"/>
  <c r="I19" i="13"/>
  <c r="K40" i="9"/>
  <c r="H18" i="13"/>
  <c r="J18" i="13"/>
  <c r="K18" i="13"/>
  <c r="L18" i="13"/>
  <c r="L22" i="13" s="1"/>
  <c r="I18" i="13" l="1"/>
  <c r="I16" i="13"/>
  <c r="J16" i="13"/>
  <c r="H16" i="13"/>
  <c r="G14" i="13"/>
  <c r="H14" i="13"/>
  <c r="I14" i="13"/>
  <c r="J14" i="13"/>
  <c r="K14" i="13"/>
  <c r="K39" i="3"/>
  <c r="K38" i="3"/>
  <c r="K37" i="3"/>
  <c r="K36" i="3"/>
  <c r="K35" i="3"/>
  <c r="K34" i="3"/>
  <c r="K33" i="3"/>
  <c r="K32" i="3"/>
  <c r="K31" i="3"/>
  <c r="K30" i="3"/>
  <c r="K29" i="3"/>
  <c r="K28" i="3"/>
  <c r="K27" i="3"/>
  <c r="K26" i="3"/>
  <c r="K25" i="3"/>
  <c r="K24" i="3"/>
  <c r="K23" i="3"/>
  <c r="K22" i="3"/>
  <c r="K21" i="3"/>
  <c r="K20" i="3"/>
  <c r="J13" i="13"/>
  <c r="H13" i="13"/>
  <c r="G13" i="13"/>
  <c r="M20" i="3"/>
  <c r="M21" i="3"/>
  <c r="M22" i="3"/>
  <c r="M23" i="3"/>
  <c r="M24" i="3"/>
  <c r="M25" i="3"/>
  <c r="M27" i="3"/>
  <c r="M28" i="3"/>
  <c r="M29" i="3"/>
  <c r="M31" i="3"/>
  <c r="M32" i="3"/>
  <c r="M33" i="3"/>
  <c r="M34" i="3"/>
  <c r="M35" i="3"/>
  <c r="M36" i="3"/>
  <c r="M37" i="3"/>
  <c r="M38" i="3"/>
  <c r="L20" i="3"/>
  <c r="L8" i="3"/>
  <c r="L22" i="3"/>
  <c r="L23" i="3"/>
  <c r="L25" i="3"/>
  <c r="L26" i="3"/>
  <c r="L29" i="3"/>
  <c r="L30" i="3"/>
  <c r="L32" i="3"/>
  <c r="L37" i="3"/>
  <c r="L38" i="3"/>
  <c r="L39" i="3"/>
  <c r="I13" i="13"/>
  <c r="L21" i="3"/>
  <c r="L24" i="3"/>
  <c r="M26" i="3"/>
  <c r="L27" i="3"/>
  <c r="L28" i="3"/>
  <c r="M30" i="3"/>
  <c r="L31" i="3"/>
  <c r="L33" i="3"/>
  <c r="L34" i="3"/>
  <c r="L35" i="3"/>
  <c r="L36" i="3"/>
  <c r="M39" i="3"/>
  <c r="M40" i="3" l="1"/>
  <c r="F13" i="13" s="1"/>
  <c r="L40" i="3"/>
  <c r="I22" i="13"/>
  <c r="K40" i="4"/>
  <c r="D14" i="13" s="1"/>
  <c r="K40" i="3"/>
  <c r="D13" i="13" s="1"/>
  <c r="G18" i="13"/>
  <c r="G16" i="13"/>
  <c r="E13" i="13"/>
  <c r="K40" i="2"/>
  <c r="D12" i="13" s="1"/>
  <c r="E12" i="13"/>
  <c r="K40" i="6"/>
  <c r="K40" i="5"/>
  <c r="G22" i="13" l="1"/>
  <c r="K13" i="13"/>
  <c r="K22" i="13" s="1"/>
  <c r="E11" i="13"/>
  <c r="E22" i="13" s="1"/>
  <c r="F11" i="13"/>
  <c r="F22" i="13" s="1"/>
  <c r="D11" i="13"/>
  <c r="D22" i="13" s="1"/>
  <c r="H11" i="13" l="1"/>
  <c r="H22" i="13" s="1"/>
  <c r="J11" i="13"/>
  <c r="J22" i="13" s="1"/>
</calcChain>
</file>

<file path=xl/sharedStrings.xml><?xml version="1.0" encoding="utf-8"?>
<sst xmlns="http://schemas.openxmlformats.org/spreadsheetml/2006/main" count="310" uniqueCount="53">
  <si>
    <t>Von</t>
  </si>
  <si>
    <t>Bis</t>
  </si>
  <si>
    <t xml:space="preserve">Anzahl Studierende </t>
  </si>
  <si>
    <t xml:space="preserve">Abfahrt </t>
  </si>
  <si>
    <t>Ziel</t>
  </si>
  <si>
    <t>Verkehrsmittel</t>
  </si>
  <si>
    <t>Kommentare</t>
  </si>
  <si>
    <t>PKW</t>
  </si>
  <si>
    <t>Bahn</t>
  </si>
  <si>
    <t>Bus</t>
  </si>
  <si>
    <t>Fahrrad</t>
  </si>
  <si>
    <t>Flug</t>
  </si>
  <si>
    <t>Sonstiges (siehe Kommentare)</t>
  </si>
  <si>
    <t>Km Bus</t>
  </si>
  <si>
    <t>Km Bahn</t>
  </si>
  <si>
    <t>Km PKW</t>
  </si>
  <si>
    <t>Entfernung (km) einfach</t>
  </si>
  <si>
    <t>Flug 1000 - 2000</t>
  </si>
  <si>
    <t>Flug 5000 - 10000</t>
  </si>
  <si>
    <t>Fakultät</t>
  </si>
  <si>
    <t>Flug 2000 - 5000</t>
  </si>
  <si>
    <t>Flug über 10000</t>
  </si>
  <si>
    <t>Entfernung (km) gesamt</t>
  </si>
  <si>
    <t>Flug bis 500</t>
  </si>
  <si>
    <t>Flug 500 - 1000 km</t>
  </si>
  <si>
    <t>Entfernungsrechner</t>
  </si>
  <si>
    <t>Schiene</t>
  </si>
  <si>
    <t>https://brouter.de/brouter-web/#map=17/50.03335/10.21398/osm-mapnik-german_style&amp;lonlats=9.935908,49.801987;10.212038,50.035057&amp;profile=car-fast</t>
  </si>
  <si>
    <t>Luft</t>
  </si>
  <si>
    <t>https://www.luftlinie.org/Frankfurt-Airport,Frankfurt,Hessen,DEU/Lappeenranta,FIN</t>
  </si>
  <si>
    <t>Straße</t>
  </si>
  <si>
    <t>https://www.google.com/maps/dir/W%C3%BCrzburg/Munich/@48.990294,10.7991323,8z/data=!3m1!4b1!4m14!4m13!1m5!1m1!1s0x47a2902012da4dd9:0x41db728f06209a0!2m2!1d9.9533548!2d49.7913044!1m5!1m1!1s0x479e75f9a38c5fd9:0x10cb84a7db1987d!2m2!1d11.5819805!2d48.1351253!3e0?entry=ttu</t>
  </si>
  <si>
    <t>GESAMT</t>
  </si>
  <si>
    <t>Motorrad</t>
  </si>
  <si>
    <t>Straßen-, S-, U-Bahn</t>
  </si>
  <si>
    <t>Fakultät 1</t>
  </si>
  <si>
    <t>Datum</t>
  </si>
  <si>
    <t>Verantwortliche Person</t>
  </si>
  <si>
    <t>Exkursionen</t>
  </si>
  <si>
    <t>Abfahrtsort</t>
  </si>
  <si>
    <t>Fakultät 3</t>
  </si>
  <si>
    <t>Fakultät 4</t>
  </si>
  <si>
    <t>Fakultät 2</t>
  </si>
  <si>
    <t>Fakultät 11</t>
  </si>
  <si>
    <t>Fakultät 10</t>
  </si>
  <si>
    <t>Fakultät 9</t>
  </si>
  <si>
    <t>Fakultät 8</t>
  </si>
  <si>
    <t>Fakultät 7</t>
  </si>
  <si>
    <t>Fakultät 6</t>
  </si>
  <si>
    <t>Fakultät 5</t>
  </si>
  <si>
    <t>Auswertung Exkursionen</t>
  </si>
  <si>
    <t>Eigenes Logo</t>
  </si>
  <si>
    <r>
      <rPr>
        <b/>
        <sz val="11"/>
        <color theme="1"/>
        <rFont val="Aptos Narrow"/>
        <scheme val="minor"/>
      </rPr>
      <t xml:space="preserve">Bearbeitungshinweise: </t>
    </r>
    <r>
      <rPr>
        <sz val="11"/>
        <color theme="1"/>
        <rFont val="Aptos Narrow"/>
        <family val="2"/>
        <scheme val="minor"/>
      </rPr>
      <t>Jede Fakultät trägt ihre Exkursion in ein separates Excel-Blatt ein. Sobald eine Zeile vollständig ausgefüllt wurde, wird diese automatisch entsprechend der jeweiligen Kategorie in das Excel-Blatt "Auswertung" übernommen. Die hier verwendeten Kategorien entsprechen dem Bilanzierungstool "</t>
    </r>
    <r>
      <rPr>
        <b/>
        <i/>
        <sz val="11"/>
        <color theme="1"/>
        <rFont val="Aptos Narrow"/>
        <scheme val="minor"/>
      </rPr>
      <t>BayCalc 2.0</t>
    </r>
    <r>
      <rPr>
        <sz val="11"/>
        <color theme="1"/>
        <rFont val="Aptos Narrow"/>
        <family val="2"/>
        <scheme val="minor"/>
      </rPr>
      <t>", die Kategorien anderer Tools können ggf. abweichen. Sollten Professorinnen und Professoren bzw. angestelltes Begleitpersonal nicht über Dienstreisen erfasst werden, so müssen diese ebenfalls mit in die Anzahl einbezogen werden. Entfernungen können über die jeweiligen Streckenberechnungstools (s. Onlinelinks) berechnet werden</t>
    </r>
    <r>
      <rPr>
        <sz val="11"/>
        <color theme="1"/>
        <rFont val="Aptos Narrow"/>
        <scheme val="minor"/>
      </rPr>
      <t>. Durch einen Doppelklick auf die einzelnen Excel-Blätter können die Bezeichnungen der Fakultäten auch dort geändert werden. Bei Rückfragen wenden Sie sich gerne an das IAL-Team der THWS (+49 931 3511-6350).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</si>
</sst>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Aptos Narrow"/>
      <family val="2"/>
      <scheme val="minor"/>
    </font>
    <font>
      <b/>
      <sz val="11"/>
      <color theme="1"/>
      <name val="Aptos Narrow"/>
      <scheme val="minor"/>
    </font>
    <font>
      <b/>
      <sz val="11"/>
      <color rgb="FFFF0000"/>
      <name val="Aptos Narrow"/>
      <scheme val="minor"/>
    </font>
    <font>
      <sz val="8"/>
      <name val="Aptos Narrow"/>
      <family val="2"/>
      <scheme val="minor"/>
    </font>
    <font>
      <sz val="11"/>
      <color theme="1"/>
      <name val="Aptos Narrow"/>
      <scheme val="minor"/>
    </font>
    <font>
      <sz val="11"/>
      <name val="Aptos Narrow"/>
      <scheme val="minor"/>
    </font>
    <font>
      <sz val="11"/>
      <color rgb="FFFF0000"/>
      <name val="Aptos Narrow"/>
      <family val="2"/>
      <scheme val="minor"/>
    </font>
    <font>
      <sz val="11"/>
      <color theme="1"/>
      <name val="Aptos Narrow"/>
      <family val="2"/>
      <scheme val="minor"/>
    </font>
    <font>
      <b/>
      <sz val="11"/>
      <color theme="4" tint="-0.249977111117893"/>
      <name val="Aptos Narrow"/>
      <family val="2"/>
      <scheme val="minor"/>
    </font>
    <font>
      <sz val="11"/>
      <color theme="9"/>
      <name val="Aptos Narrow"/>
      <family val="2"/>
      <scheme val="minor"/>
    </font>
    <font>
      <u/>
      <sz val="11"/>
      <color theme="10"/>
      <name val="Aptos Narrow"/>
      <family val="2"/>
      <scheme val="minor"/>
    </font>
    <font>
      <sz val="11"/>
      <name val="Aptos Narrow"/>
      <family val="2"/>
      <scheme val="minor"/>
    </font>
    <font>
      <sz val="12"/>
      <color theme="1"/>
      <name val="Times New Roman"/>
      <family val="1"/>
    </font>
    <font>
      <b/>
      <sz val="11"/>
      <name val="Aptos Narrow"/>
      <scheme val="minor"/>
    </font>
    <font>
      <sz val="12"/>
      <name val="Times New Roman"/>
      <family val="1"/>
    </font>
    <font>
      <sz val="11"/>
      <name val="Aptos Narrow"/>
    </font>
    <font>
      <b/>
      <sz val="16"/>
      <color theme="1"/>
      <name val="Aptos Narrow"/>
      <scheme val="minor"/>
    </font>
    <font>
      <sz val="16"/>
      <color theme="1"/>
      <name val="Aptos Narrow"/>
      <family val="2"/>
      <scheme val="minor"/>
    </font>
    <font>
      <b/>
      <i/>
      <sz val="11"/>
      <color theme="1"/>
      <name val="Aptos Narrow"/>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43" fontId="7" fillId="0" borderId="0" applyFont="0" applyFill="0" applyBorder="0" applyAlignment="0" applyProtection="0"/>
    <xf numFmtId="0" fontId="10" fillId="0" borderId="0" applyNumberFormat="0" applyFill="0" applyBorder="0" applyAlignment="0" applyProtection="0"/>
  </cellStyleXfs>
  <cellXfs count="169">
    <xf numFmtId="0" fontId="0" fillId="0" borderId="0" xfId="0"/>
    <xf numFmtId="0" fontId="1" fillId="0" borderId="0" xfId="0" applyFont="1"/>
    <xf numFmtId="0" fontId="0" fillId="0" borderId="0" xfId="0" applyAlignment="1">
      <alignment vertical="center"/>
    </xf>
    <xf numFmtId="0" fontId="9" fillId="0" borderId="0" xfId="0" applyFont="1"/>
    <xf numFmtId="43" fontId="0" fillId="0" borderId="0" xfId="1" applyFont="1"/>
    <xf numFmtId="43" fontId="0" fillId="0" borderId="0" xfId="0" applyNumberFormat="1"/>
    <xf numFmtId="0" fontId="12" fillId="0" borderId="0" xfId="0" applyFont="1" applyAlignment="1">
      <alignment vertical="center"/>
    </xf>
    <xf numFmtId="0" fontId="12" fillId="0" borderId="0" xfId="0" applyFont="1"/>
    <xf numFmtId="0" fontId="11" fillId="0" borderId="0" xfId="0" applyFont="1"/>
    <xf numFmtId="0" fontId="5" fillId="0" borderId="0" xfId="0" applyFont="1"/>
    <xf numFmtId="0" fontId="13" fillId="0" borderId="0" xfId="0" applyFont="1"/>
    <xf numFmtId="0" fontId="14" fillId="0" borderId="0" xfId="0" applyFont="1" applyAlignment="1">
      <alignment vertical="center"/>
    </xf>
    <xf numFmtId="0" fontId="14" fillId="0" borderId="0" xfId="0" applyFont="1"/>
    <xf numFmtId="0" fontId="0" fillId="0" borderId="0" xfId="1" applyNumberFormat="1" applyFont="1"/>
    <xf numFmtId="0" fontId="11" fillId="0" borderId="0" xfId="1" applyNumberFormat="1" applyFont="1"/>
    <xf numFmtId="43" fontId="11" fillId="0" borderId="0" xfId="0" applyNumberFormat="1" applyFont="1"/>
    <xf numFmtId="0" fontId="10" fillId="0" borderId="0" xfId="2"/>
    <xf numFmtId="43" fontId="0" fillId="0" borderId="3" xfId="0" applyNumberFormat="1" applyBorder="1"/>
    <xf numFmtId="43" fontId="0" fillId="0" borderId="0" xfId="1" applyFont="1" applyBorder="1"/>
    <xf numFmtId="0" fontId="15" fillId="0" borderId="0" xfId="0" applyFont="1"/>
    <xf numFmtId="0" fontId="0" fillId="0" borderId="0" xfId="0" applyProtection="1">
      <protection locked="0"/>
    </xf>
    <xf numFmtId="0" fontId="0" fillId="0" borderId="12" xfId="0" applyBorder="1" applyProtection="1">
      <protection locked="0"/>
    </xf>
    <xf numFmtId="0" fontId="0" fillId="0" borderId="6" xfId="0" applyBorder="1" applyProtection="1">
      <protection locked="0"/>
    </xf>
    <xf numFmtId="0" fontId="0" fillId="0" borderId="4" xfId="0" applyBorder="1" applyProtection="1">
      <protection locked="0"/>
    </xf>
    <xf numFmtId="0" fontId="0" fillId="0" borderId="0" xfId="0" applyBorder="1"/>
    <xf numFmtId="43" fontId="0" fillId="0" borderId="9" xfId="1" applyFont="1" applyBorder="1"/>
    <xf numFmtId="43" fontId="5" fillId="0" borderId="9" xfId="0" applyNumberFormat="1" applyFont="1" applyBorder="1"/>
    <xf numFmtId="43" fontId="5" fillId="0" borderId="10" xfId="0" applyNumberFormat="1" applyFont="1" applyBorder="1"/>
    <xf numFmtId="43" fontId="0" fillId="0" borderId="0" xfId="0" applyNumberFormat="1" applyBorder="1"/>
    <xf numFmtId="43" fontId="0" fillId="0" borderId="5" xfId="0" applyNumberFormat="1" applyBorder="1"/>
    <xf numFmtId="43" fontId="0" fillId="0" borderId="7" xfId="0" applyNumberFormat="1" applyBorder="1"/>
    <xf numFmtId="43" fontId="0" fillId="0" borderId="8" xfId="0" applyNumberFormat="1" applyBorder="1"/>
    <xf numFmtId="0" fontId="0" fillId="0" borderId="0" xfId="0" applyBorder="1" applyProtection="1">
      <protection locked="0"/>
    </xf>
    <xf numFmtId="0" fontId="5" fillId="0" borderId="0" xfId="0" applyNumberFormat="1" applyFont="1"/>
    <xf numFmtId="0" fontId="5" fillId="0" borderId="0" xfId="0" applyFont="1" applyBorder="1"/>
    <xf numFmtId="0" fontId="0" fillId="0" borderId="5" xfId="0" applyBorder="1"/>
    <xf numFmtId="0" fontId="0" fillId="0" borderId="0" xfId="0" applyNumberFormat="1"/>
    <xf numFmtId="43" fontId="5" fillId="0" borderId="0" xfId="1" applyFont="1" applyBorder="1"/>
    <xf numFmtId="43" fontId="0" fillId="0" borderId="0" xfId="1" applyFont="1" applyBorder="1" applyAlignment="1">
      <alignment vertical="center"/>
    </xf>
    <xf numFmtId="0" fontId="12" fillId="0" borderId="0" xfId="0" applyFont="1" applyBorder="1"/>
    <xf numFmtId="0" fontId="5" fillId="0" borderId="0" xfId="0" applyNumberFormat="1" applyFont="1" applyBorder="1"/>
    <xf numFmtId="0" fontId="11" fillId="0" borderId="0" xfId="0" applyNumberFormat="1" applyFont="1"/>
    <xf numFmtId="0" fontId="0" fillId="0" borderId="3" xfId="0" applyBorder="1"/>
    <xf numFmtId="0" fontId="12" fillId="0" borderId="10" xfId="0" applyFont="1" applyBorder="1"/>
    <xf numFmtId="0" fontId="0" fillId="0" borderId="5" xfId="0" applyNumberFormat="1" applyBorder="1"/>
    <xf numFmtId="0" fontId="0" fillId="0" borderId="5" xfId="1" applyNumberFormat="1" applyFont="1" applyBorder="1"/>
    <xf numFmtId="0" fontId="0" fillId="0" borderId="8" xfId="1" applyNumberFormat="1" applyFont="1" applyBorder="1"/>
    <xf numFmtId="0" fontId="12" fillId="0" borderId="0" xfId="0" applyNumberFormat="1" applyFont="1" applyAlignment="1">
      <alignment vertical="center"/>
    </xf>
    <xf numFmtId="0" fontId="12" fillId="0" borderId="0" xfId="0" applyNumberFormat="1" applyFont="1"/>
    <xf numFmtId="0" fontId="15" fillId="0" borderId="0" xfId="0" applyNumberFormat="1" applyFont="1"/>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protection locked="0"/>
    </xf>
    <xf numFmtId="0" fontId="0" fillId="0" borderId="3" xfId="0" applyBorder="1" applyAlignment="1" applyProtection="1">
      <protection locked="0"/>
    </xf>
    <xf numFmtId="0" fontId="0" fillId="0" borderId="0" xfId="0" applyAlignment="1">
      <alignmen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43" fontId="0" fillId="0" borderId="0" xfId="1" applyFont="1" applyProtection="1">
      <protection locked="0"/>
    </xf>
    <xf numFmtId="0" fontId="16" fillId="0" borderId="1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 fillId="0" borderId="11" xfId="0" applyFont="1" applyBorder="1" applyProtection="1">
      <protection locked="0"/>
    </xf>
    <xf numFmtId="0" fontId="8" fillId="0" borderId="12" xfId="0" applyFont="1" applyBorder="1" applyProtection="1">
      <protection locked="0"/>
    </xf>
    <xf numFmtId="0" fontId="4" fillId="0" borderId="16" xfId="0" applyFont="1" applyBorder="1" applyProtection="1">
      <protection locked="0"/>
    </xf>
    <xf numFmtId="43" fontId="0" fillId="0" borderId="13" xfId="1" applyFont="1" applyFill="1" applyBorder="1" applyProtection="1">
      <protection locked="0"/>
    </xf>
    <xf numFmtId="0" fontId="4" fillId="0" borderId="17" xfId="0" applyFont="1" applyBorder="1" applyProtection="1">
      <protection locked="0"/>
    </xf>
    <xf numFmtId="43" fontId="0" fillId="0" borderId="14" xfId="1" applyFont="1" applyFill="1" applyBorder="1" applyProtection="1">
      <protection locked="0"/>
    </xf>
    <xf numFmtId="43" fontId="0" fillId="0" borderId="14" xfId="1" applyFont="1" applyBorder="1" applyProtection="1">
      <protection locked="0"/>
    </xf>
    <xf numFmtId="0" fontId="4" fillId="0" borderId="18" xfId="0" applyFont="1" applyBorder="1" applyProtection="1">
      <protection locked="0"/>
    </xf>
    <xf numFmtId="43" fontId="0" fillId="0" borderId="15" xfId="1" applyFont="1" applyBorder="1" applyProtection="1">
      <protection locked="0"/>
    </xf>
    <xf numFmtId="43" fontId="0" fillId="0" borderId="19" xfId="1" applyFont="1" applyBorder="1" applyProtection="1">
      <protection locked="0"/>
    </xf>
    <xf numFmtId="0" fontId="1" fillId="0" borderId="6" xfId="0" applyFont="1" applyBorder="1" applyProtection="1">
      <protection locked="0"/>
    </xf>
    <xf numFmtId="43" fontId="1" fillId="0" borderId="12" xfId="0" applyNumberFormat="1" applyFont="1" applyBorder="1" applyProtection="1">
      <protection locked="0"/>
    </xf>
    <xf numFmtId="43" fontId="16" fillId="0" borderId="11" xfId="1" applyFont="1" applyBorder="1" applyAlignment="1" applyProtection="1">
      <alignment horizontal="center" vertical="center"/>
      <protection locked="0"/>
    </xf>
    <xf numFmtId="43" fontId="16" fillId="0" borderId="9" xfId="1" applyFont="1" applyBorder="1" applyAlignment="1" applyProtection="1">
      <alignment horizontal="center" vertical="center"/>
      <protection locked="0"/>
    </xf>
    <xf numFmtId="43" fontId="16" fillId="0" borderId="10" xfId="1" applyFont="1" applyBorder="1" applyAlignment="1" applyProtection="1">
      <alignment horizontal="center" vertical="center"/>
      <protection locked="0"/>
    </xf>
    <xf numFmtId="43" fontId="16" fillId="0" borderId="4" xfId="1" applyFont="1" applyBorder="1" applyAlignment="1" applyProtection="1">
      <alignment horizontal="center" vertical="center"/>
      <protection locked="0"/>
    </xf>
    <xf numFmtId="43" fontId="16" fillId="0" borderId="0" xfId="1" applyFont="1" applyBorder="1" applyAlignment="1" applyProtection="1">
      <alignment horizontal="center" vertical="center"/>
      <protection locked="0"/>
    </xf>
    <xf numFmtId="43" fontId="16" fillId="0" borderId="5" xfId="1" applyFont="1" applyBorder="1" applyAlignment="1" applyProtection="1">
      <alignment horizontal="center" vertical="center"/>
      <protection locked="0"/>
    </xf>
    <xf numFmtId="43" fontId="16" fillId="0" borderId="6" xfId="1" applyFont="1" applyBorder="1" applyAlignment="1" applyProtection="1">
      <alignment horizontal="center" vertical="center"/>
      <protection locked="0"/>
    </xf>
    <xf numFmtId="43" fontId="16" fillId="0" borderId="7" xfId="1" applyFont="1" applyBorder="1" applyAlignment="1" applyProtection="1">
      <alignment horizontal="center" vertical="center"/>
      <protection locked="0"/>
    </xf>
    <xf numFmtId="43" fontId="16" fillId="0" borderId="8" xfId="1"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 fillId="0" borderId="0" xfId="0" applyFont="1" applyProtection="1">
      <protection locked="0"/>
    </xf>
    <xf numFmtId="0" fontId="17" fillId="0" borderId="6"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0" fillId="0" borderId="11" xfId="0" applyBorder="1" applyProtection="1">
      <protection locked="0"/>
    </xf>
    <xf numFmtId="0" fontId="0" fillId="0" borderId="9" xfId="0" applyBorder="1" applyProtection="1">
      <protection locked="0"/>
    </xf>
    <xf numFmtId="0" fontId="0" fillId="0" borderId="10" xfId="0" applyBorder="1" applyProtection="1">
      <protection locked="0"/>
    </xf>
    <xf numFmtId="14" fontId="11" fillId="0" borderId="11" xfId="0" applyNumberFormat="1" applyFont="1" applyBorder="1" applyProtection="1">
      <protection locked="0"/>
    </xf>
    <xf numFmtId="14" fontId="11" fillId="0" borderId="9" xfId="0" applyNumberFormat="1" applyFont="1" applyBorder="1" applyProtection="1">
      <protection locked="0"/>
    </xf>
    <xf numFmtId="0" fontId="5" fillId="0" borderId="9" xfId="0" applyFont="1" applyBorder="1" applyProtection="1">
      <protection locked="0"/>
    </xf>
    <xf numFmtId="0" fontId="11" fillId="0" borderId="9" xfId="0" applyFont="1" applyBorder="1" applyProtection="1">
      <protection locked="0"/>
    </xf>
    <xf numFmtId="43" fontId="0" fillId="0" borderId="10" xfId="1" applyFont="1" applyBorder="1" applyProtection="1">
      <protection locked="0"/>
    </xf>
    <xf numFmtId="14" fontId="0" fillId="0" borderId="4" xfId="0" applyNumberFormat="1" applyBorder="1" applyProtection="1">
      <protection locked="0"/>
    </xf>
    <xf numFmtId="14" fontId="0" fillId="0" borderId="0" xfId="0" applyNumberFormat="1" applyBorder="1" applyProtection="1">
      <protection locked="0"/>
    </xf>
    <xf numFmtId="0" fontId="11" fillId="0" borderId="0" xfId="0" applyFont="1" applyBorder="1" applyProtection="1">
      <protection locked="0"/>
    </xf>
    <xf numFmtId="0" fontId="9" fillId="0" borderId="0" xfId="0" applyFont="1" applyBorder="1" applyProtection="1">
      <protection locked="0"/>
    </xf>
    <xf numFmtId="43" fontId="0" fillId="0" borderId="5" xfId="0" applyNumberFormat="1" applyBorder="1" applyProtection="1">
      <protection locked="0"/>
    </xf>
    <xf numFmtId="0" fontId="2" fillId="0" borderId="0" xfId="0" applyFont="1" applyBorder="1" applyAlignment="1" applyProtection="1">
      <alignment horizontal="right"/>
      <protection locked="0"/>
    </xf>
    <xf numFmtId="0" fontId="6" fillId="0" borderId="0" xfId="0" applyFont="1" applyBorder="1" applyProtection="1">
      <protection locked="0"/>
    </xf>
    <xf numFmtId="0" fontId="0" fillId="0" borderId="0" xfId="0" applyNumberFormat="1" applyBorder="1" applyProtection="1">
      <protection locked="0"/>
    </xf>
    <xf numFmtId="0" fontId="11" fillId="0" borderId="0" xfId="0" applyNumberFormat="1" applyFont="1" applyBorder="1" applyProtection="1">
      <protection locked="0"/>
    </xf>
    <xf numFmtId="14" fontId="0" fillId="0" borderId="6" xfId="0" applyNumberFormat="1" applyBorder="1" applyProtection="1">
      <protection locked="0"/>
    </xf>
    <xf numFmtId="14" fontId="0" fillId="0" borderId="7" xfId="0" applyNumberFormat="1" applyBorder="1" applyProtection="1">
      <protection locked="0"/>
    </xf>
    <xf numFmtId="0" fontId="2" fillId="0" borderId="7" xfId="0" applyFont="1" applyBorder="1" applyAlignment="1" applyProtection="1">
      <alignment horizontal="right"/>
      <protection locked="0"/>
    </xf>
    <xf numFmtId="0" fontId="0" fillId="0" borderId="7" xfId="0" applyBorder="1" applyProtection="1">
      <protection locked="0"/>
    </xf>
    <xf numFmtId="0" fontId="11" fillId="0" borderId="7" xfId="0" applyFont="1" applyBorder="1" applyProtection="1">
      <protection locked="0"/>
    </xf>
    <xf numFmtId="0" fontId="6" fillId="0" borderId="7" xfId="0" applyFont="1" applyBorder="1" applyProtection="1">
      <protection locked="0"/>
    </xf>
    <xf numFmtId="43" fontId="0" fillId="0" borderId="8" xfId="0" applyNumberFormat="1" applyBorder="1" applyProtection="1">
      <protection locked="0"/>
    </xf>
    <xf numFmtId="0" fontId="5" fillId="0" borderId="10" xfId="0" applyFont="1" applyBorder="1" applyProtection="1">
      <protection locked="0"/>
    </xf>
    <xf numFmtId="14" fontId="5" fillId="0" borderId="4" xfId="0" applyNumberFormat="1" applyFont="1" applyBorder="1" applyProtection="1">
      <protection locked="0"/>
    </xf>
    <xf numFmtId="14" fontId="5" fillId="0" borderId="0" xfId="0" applyNumberFormat="1" applyFont="1" applyBorder="1" applyProtection="1">
      <protection locked="0"/>
    </xf>
    <xf numFmtId="0" fontId="5" fillId="0" borderId="0" xfId="0" applyFont="1" applyBorder="1" applyProtection="1">
      <protection locked="0"/>
    </xf>
    <xf numFmtId="0" fontId="5" fillId="0" borderId="5" xfId="0" applyFont="1" applyBorder="1" applyProtection="1">
      <protection locked="0"/>
    </xf>
    <xf numFmtId="0" fontId="5" fillId="0" borderId="0" xfId="0" applyNumberFormat="1" applyFont="1" applyBorder="1" applyProtection="1">
      <protection locked="0"/>
    </xf>
    <xf numFmtId="14" fontId="5" fillId="0" borderId="6" xfId="0" applyNumberFormat="1" applyFont="1" applyBorder="1" applyProtection="1">
      <protection locked="0"/>
    </xf>
    <xf numFmtId="14" fontId="5" fillId="0" borderId="7" xfId="0" applyNumberFormat="1" applyFont="1" applyBorder="1" applyProtection="1">
      <protection locked="0"/>
    </xf>
    <xf numFmtId="0" fontId="5" fillId="0" borderId="7" xfId="0" applyFont="1" applyBorder="1" applyProtection="1">
      <protection locked="0"/>
    </xf>
    <xf numFmtId="0" fontId="5" fillId="0" borderId="7" xfId="0" applyNumberFormat="1" applyFont="1" applyBorder="1" applyProtection="1">
      <protection locked="0"/>
    </xf>
    <xf numFmtId="0" fontId="5" fillId="0" borderId="8" xfId="0" applyFont="1" applyBorder="1" applyProtection="1">
      <protection locked="0"/>
    </xf>
    <xf numFmtId="0" fontId="0" fillId="0" borderId="8" xfId="0" applyBorder="1" applyProtection="1">
      <protection locked="0"/>
    </xf>
    <xf numFmtId="0" fontId="9" fillId="0" borderId="0" xfId="0" applyFont="1" applyProtection="1">
      <protection locked="0"/>
    </xf>
    <xf numFmtId="14" fontId="11" fillId="0" borderId="4" xfId="0" applyNumberFormat="1" applyFont="1" applyBorder="1" applyProtection="1">
      <protection locked="0"/>
    </xf>
    <xf numFmtId="14" fontId="11" fillId="0" borderId="0" xfId="0" applyNumberFormat="1" applyFont="1" applyBorder="1" applyProtection="1">
      <protection locked="0"/>
    </xf>
    <xf numFmtId="0" fontId="11" fillId="0" borderId="5" xfId="0" applyFont="1" applyBorder="1" applyProtection="1">
      <protection locked="0"/>
    </xf>
    <xf numFmtId="14" fontId="11" fillId="0" borderId="6" xfId="0" applyNumberFormat="1" applyFont="1" applyBorder="1" applyProtection="1">
      <protection locked="0"/>
    </xf>
    <xf numFmtId="14" fontId="11" fillId="0" borderId="7" xfId="0" applyNumberFormat="1" applyFont="1" applyBorder="1" applyProtection="1">
      <protection locked="0"/>
    </xf>
    <xf numFmtId="0" fontId="11" fillId="0" borderId="7" xfId="0" applyNumberFormat="1" applyFont="1" applyBorder="1" applyProtection="1">
      <protection locked="0"/>
    </xf>
    <xf numFmtId="0" fontId="11" fillId="0" borderId="8" xfId="0" applyFont="1"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0" xfId="0" applyBorder="1" applyAlignment="1" applyProtection="1">
      <alignment horizontal="right"/>
      <protection locked="0"/>
    </xf>
    <xf numFmtId="14" fontId="0" fillId="0" borderId="0" xfId="0" applyNumberFormat="1" applyBorder="1" applyAlignment="1" applyProtection="1">
      <alignment vertical="center"/>
      <protection locked="0"/>
    </xf>
    <xf numFmtId="0" fontId="0" fillId="0" borderId="0" xfId="0" applyBorder="1" applyAlignment="1" applyProtection="1">
      <alignment horizontal="righ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left" vertical="center"/>
      <protection locked="0"/>
    </xf>
    <xf numFmtId="0" fontId="0" fillId="0" borderId="5" xfId="0" applyBorder="1" applyAlignment="1" applyProtection="1">
      <alignment vertical="center"/>
      <protection locked="0"/>
    </xf>
    <xf numFmtId="0" fontId="4" fillId="0" borderId="0" xfId="0" applyFont="1" applyBorder="1" applyProtection="1">
      <protection locked="0"/>
    </xf>
    <xf numFmtId="0" fontId="0" fillId="0" borderId="7" xfId="0" applyBorder="1" applyAlignment="1" applyProtection="1">
      <alignment horizontal="right"/>
      <protection locked="0"/>
    </xf>
    <xf numFmtId="0" fontId="0" fillId="0" borderId="2" xfId="0" applyBorder="1" applyAlignment="1" applyProtection="1">
      <alignment horizontal="right"/>
      <protection locked="0"/>
    </xf>
    <xf numFmtId="0" fontId="11" fillId="0" borderId="10" xfId="0" applyFont="1" applyBorder="1" applyProtection="1">
      <protection locked="0"/>
    </xf>
    <xf numFmtId="0" fontId="11" fillId="0" borderId="4" xfId="0" applyFont="1" applyBorder="1" applyProtection="1">
      <protection locked="0"/>
    </xf>
    <xf numFmtId="0" fontId="11" fillId="0" borderId="0" xfId="0" applyFont="1" applyBorder="1" applyAlignment="1" applyProtection="1">
      <alignment horizontal="right"/>
      <protection locked="0"/>
    </xf>
    <xf numFmtId="0" fontId="5" fillId="0" borderId="0" xfId="0" applyFont="1" applyBorder="1" applyAlignment="1" applyProtection="1">
      <alignment horizontal="right"/>
      <protection locked="0"/>
    </xf>
    <xf numFmtId="0" fontId="11" fillId="0" borderId="7" xfId="0" applyFont="1" applyBorder="1" applyAlignment="1" applyProtection="1">
      <alignment horizontal="right"/>
      <protection locked="0"/>
    </xf>
    <xf numFmtId="0" fontId="11" fillId="0" borderId="1" xfId="0" applyFont="1" applyBorder="1" applyProtection="1">
      <protection locked="0"/>
    </xf>
    <xf numFmtId="0" fontId="11" fillId="0" borderId="2" xfId="0" applyFont="1" applyBorder="1" applyProtection="1">
      <protection locked="0"/>
    </xf>
    <xf numFmtId="0" fontId="11" fillId="0" borderId="2" xfId="0" applyFont="1" applyBorder="1" applyAlignment="1" applyProtection="1">
      <alignment horizontal="right"/>
      <protection locked="0"/>
    </xf>
    <xf numFmtId="0" fontId="11" fillId="0" borderId="3" xfId="0" applyFont="1" applyBorder="1" applyProtection="1">
      <protection locked="0"/>
    </xf>
    <xf numFmtId="0" fontId="11" fillId="0" borderId="0" xfId="0" applyFont="1" applyProtection="1">
      <protection locked="0"/>
    </xf>
    <xf numFmtId="0" fontId="0" fillId="0" borderId="0" xfId="0" applyAlignment="1" applyProtection="1">
      <alignment horizontal="right"/>
      <protection locked="0"/>
    </xf>
  </cellXfs>
  <cellStyles count="3">
    <cellStyle name="Komma" xfId="1" builtinId="3"/>
    <cellStyle name="Link" xfId="2" builtinId="8"/>
    <cellStyle name="Standard" xfId="0" builtinId="0"/>
  </cellStyles>
  <dxfs count="442">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numFmt numFmtId="0" formatCode="General"/>
      <border diagonalUp="0" diagonalDown="0">
        <left/>
        <right style="medium">
          <color indexed="64"/>
        </right>
        <top/>
        <bottom/>
        <vertical/>
        <horizontal/>
      </border>
      <protection locked="0" hidden="0"/>
    </dxf>
    <dxf>
      <font>
        <b val="0"/>
        <i val="0"/>
        <strike val="0"/>
        <condense val="0"/>
        <extend val="0"/>
        <outline val="0"/>
        <shadow val="0"/>
        <u val="none"/>
        <vertAlign val="baseline"/>
        <sz val="11"/>
        <color auto="1"/>
        <name val="Aptos Narrow"/>
        <family val="2"/>
        <scheme val="minor"/>
      </font>
      <protection locked="0" hidden="0"/>
    </dxf>
    <dxf>
      <font>
        <b val="0"/>
        <strike val="0"/>
        <outline val="0"/>
        <shadow val="0"/>
        <u val="none"/>
        <vertAlign val="baseline"/>
        <color auto="1"/>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numFmt numFmtId="0" formatCode="General"/>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family val="2"/>
        <scheme val="minor"/>
      </font>
      <protection locked="0" hidden="0"/>
    </dxf>
    <dxf>
      <font>
        <b val="0"/>
        <strike val="0"/>
        <outline val="0"/>
        <shadow val="0"/>
        <u val="none"/>
        <vertAlign val="baseline"/>
        <color auto="1"/>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font>
        <b val="0"/>
        <strike val="0"/>
        <outline val="0"/>
        <shadow val="0"/>
        <u val="none"/>
        <vertAlign val="baseline"/>
        <color auto="1"/>
      </font>
      <numFmt numFmtId="19" formatCode="dd/mm/yyyy"/>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font>
        <b val="0"/>
        <strike val="0"/>
        <outline val="0"/>
        <shadow val="0"/>
        <u val="none"/>
        <vertAlign val="baseline"/>
        <color auto="1"/>
      </font>
      <numFmt numFmtId="19" formatCode="dd/mm/yyyy"/>
      <border diagonalUp="0" diagonalDown="0">
        <left style="medium">
          <color indexed="64"/>
        </left>
        <right/>
        <top/>
        <bottom/>
        <vertical/>
        <horizontal/>
      </border>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numFmt numFmtId="0" formatCode="General"/>
      <border diagonalUp="0" diagonalDown="0">
        <left/>
        <right style="medium">
          <color indexed="64"/>
        </right>
        <top/>
        <bottom/>
        <vertical/>
        <horizontal/>
      </border>
      <protection locked="0" hidden="0"/>
    </dxf>
    <dxf>
      <font>
        <b val="0"/>
        <i val="0"/>
        <strike val="0"/>
        <condense val="0"/>
        <extend val="0"/>
        <outline val="0"/>
        <shadow val="0"/>
        <u val="none"/>
        <vertAlign val="baseline"/>
        <sz val="11"/>
        <color auto="1"/>
        <name val="Aptos Narrow"/>
        <family val="2"/>
        <scheme val="minor"/>
      </font>
      <protection locked="0" hidden="0"/>
    </dxf>
    <dxf>
      <font>
        <b val="0"/>
        <strike val="0"/>
        <outline val="0"/>
        <shadow val="0"/>
        <u val="none"/>
        <vertAlign val="baseline"/>
        <color auto="1"/>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numFmt numFmtId="0" formatCode="General"/>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family val="2"/>
        <scheme val="minor"/>
      </font>
      <protection locked="0" hidden="0"/>
    </dxf>
    <dxf>
      <font>
        <b val="0"/>
        <strike val="0"/>
        <outline val="0"/>
        <shadow val="0"/>
        <u val="none"/>
        <vertAlign val="baseline"/>
        <color auto="1"/>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protection locked="0" hidden="0"/>
    </dxf>
    <dxf>
      <font>
        <b/>
        <i val="0"/>
        <strike val="0"/>
        <condense val="0"/>
        <extend val="0"/>
        <outline val="0"/>
        <shadow val="0"/>
        <u val="none"/>
        <vertAlign val="baseline"/>
        <sz val="11"/>
        <color auto="1"/>
        <name val="Aptos Narrow"/>
        <scheme val="minor"/>
      </font>
      <protection locked="0" hidden="0"/>
    </dxf>
    <dxf>
      <font>
        <b val="0"/>
        <i val="0"/>
        <strike val="0"/>
        <condense val="0"/>
        <extend val="0"/>
        <outline val="0"/>
        <shadow val="0"/>
        <u val="none"/>
        <vertAlign val="baseline"/>
        <sz val="11"/>
        <color auto="1"/>
        <name val="Aptos Narrow"/>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font>
        <b val="0"/>
        <strike val="0"/>
        <outline val="0"/>
        <shadow val="0"/>
        <u val="none"/>
        <vertAlign val="baseline"/>
        <color auto="1"/>
      </font>
      <numFmt numFmtId="19" formatCode="dd/mm/yyyy"/>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font>
        <b val="0"/>
        <strike val="0"/>
        <outline val="0"/>
        <shadow val="0"/>
        <u val="none"/>
        <vertAlign val="baseline"/>
        <color auto="1"/>
      </font>
      <numFmt numFmtId="19" formatCode="dd/mm/yyyy"/>
      <border diagonalUp="0" diagonalDown="0">
        <left style="medium">
          <color indexed="64"/>
        </left>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border diagonalUp="0" diagonalDown="0">
        <left/>
        <right style="medium">
          <color indexed="64"/>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numFmt numFmtId="3" formatCode="#,##0"/>
      <alignment horizontal="right" vertical="bottom" textRotation="0" wrapText="0" indent="0" justifyLastLine="0" shrinkToFit="0" readingOrder="0"/>
      <protection locked="0" hidden="0"/>
    </dxf>
    <dxf>
      <font>
        <color auto="1"/>
      </font>
      <numFmt numFmtId="0" formatCode="General"/>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font>
        <color auto="1"/>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alignment horizontal="right" vertical="bottom" textRotation="0" wrapText="0" indent="0" justifyLastLine="0" shrinkToFit="0" readingOrder="0"/>
      <protection locked="0" hidden="0"/>
    </dxf>
    <dxf>
      <font>
        <color auto="1"/>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border diagonalUp="0" diagonalDown="0">
        <left style="medium">
          <color indexed="64"/>
        </left>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border diagonalUp="0" diagonalDown="0">
        <left/>
        <right style="medium">
          <color indexed="64"/>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alignment horizontal="right" vertical="bottom" textRotation="0" wrapText="0" indent="0" justifyLastLine="0" shrinkToFit="0" readingOrder="0"/>
      <protection locked="0" hidden="0"/>
    </dxf>
    <dxf>
      <font>
        <color auto="1"/>
      </font>
      <numFmt numFmtId="0" formatCode="General"/>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font>
        <b val="0"/>
        <i val="0"/>
        <strike val="0"/>
        <condense val="0"/>
        <extend val="0"/>
        <outline val="0"/>
        <shadow val="0"/>
        <u val="none"/>
        <vertAlign val="baseline"/>
        <sz val="11"/>
        <color auto="1"/>
        <name val="Aptos Narrow"/>
        <family val="2"/>
        <scheme val="minor"/>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border diagonalUp="0" diagonalDown="0">
        <left style="medium">
          <color indexed="64"/>
        </left>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border diagonalUp="0" diagonalDown="0">
        <left/>
        <right style="medium">
          <color indexed="64"/>
        </right>
        <top/>
        <bottom/>
        <vertical/>
        <horizontal/>
      </border>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alignment horizontal="right" vertical="bottom" textRotation="0" wrapText="0" indent="0" justifyLastLine="0" shrinkToFit="0" readingOrder="0"/>
      <protection locked="0" hidden="0"/>
    </dxf>
    <dxf>
      <font>
        <color auto="1"/>
      </font>
      <numFmt numFmtId="0" formatCode="General"/>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font>
        <color auto="1"/>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font>
        <b val="0"/>
        <i val="0"/>
        <strike val="0"/>
        <condense val="0"/>
        <extend val="0"/>
        <outline val="0"/>
        <shadow val="0"/>
        <u val="none"/>
        <vertAlign val="baseline"/>
        <sz val="11"/>
        <color auto="1"/>
        <name val="Aptos Narrow"/>
        <family val="2"/>
        <scheme val="minor"/>
      </font>
      <protection locked="0" hidden="0"/>
    </dxf>
    <dxf>
      <alignment horizontal="right" vertical="bottom" textRotation="0" wrapText="0" indent="0" justifyLastLine="0" shrinkToFit="0" readingOrder="0"/>
      <protection locked="0" hidden="0"/>
    </dxf>
    <dxf>
      <font>
        <color auto="1"/>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protection locked="0" hidden="0"/>
    </dxf>
    <dxf>
      <protection locked="0" hidden="0"/>
    </dxf>
    <dxf>
      <font>
        <b val="0"/>
        <i val="0"/>
        <strike val="0"/>
        <condense val="0"/>
        <extend val="0"/>
        <outline val="0"/>
        <shadow val="0"/>
        <u val="none"/>
        <vertAlign val="baseline"/>
        <sz val="11"/>
        <color auto="1"/>
        <name val="Aptos Narrow"/>
        <family val="2"/>
        <scheme val="minor"/>
      </font>
      <numFmt numFmtId="19" formatCode="dd/mm/yyyy"/>
      <border diagonalUp="0" diagonalDown="0">
        <left style="medium">
          <color indexed="64"/>
        </left>
        <right/>
        <top/>
        <bottom/>
        <vertical/>
        <horizontal/>
      </border>
      <protection locked="0" hidden="0"/>
    </dxf>
    <dxf>
      <protection locked="0" hidden="0"/>
    </dxf>
    <dxf>
      <font>
        <strike val="0"/>
        <outline val="0"/>
        <shadow val="0"/>
        <u val="none"/>
        <vertAlign val="baseline"/>
        <color auto="1"/>
      </font>
      <border diagonalUp="0" diagonalDown="0">
        <left/>
        <right style="medium">
          <color indexed="64"/>
        </right>
        <top/>
        <bottom/>
        <vertical/>
        <horizontal/>
      </border>
      <protection locked="0" hidden="0"/>
    </dxf>
    <dxf>
      <protection locked="0" hidden="0"/>
    </dxf>
    <dxf>
      <font>
        <strike val="0"/>
        <outline val="0"/>
        <shadow val="0"/>
        <u val="none"/>
        <vertAlign val="baseline"/>
        <color auto="1"/>
      </font>
      <protection locked="0" hidden="0"/>
    </dxf>
    <dxf>
      <protection locked="0" hidden="0"/>
    </dxf>
    <dxf>
      <font>
        <strike val="0"/>
        <outline val="0"/>
        <shadow val="0"/>
        <u val="none"/>
        <vertAlign val="baseline"/>
        <sz val="11"/>
        <color auto="1"/>
        <name val="Aptos Narrow"/>
        <family val="2"/>
        <scheme val="minor"/>
      </font>
      <numFmt numFmtId="0" formatCode="General"/>
      <alignment horizontal="right" vertical="bottom" textRotation="0" wrapText="0" indent="0" justifyLastLine="0" shrinkToFit="0" readingOrder="0"/>
      <protection locked="0" hidden="0"/>
    </dxf>
    <dxf>
      <protection locked="0" hidden="0"/>
    </dxf>
    <dxf>
      <font>
        <strike val="0"/>
        <outline val="0"/>
        <shadow val="0"/>
        <u val="none"/>
        <vertAlign val="baseline"/>
        <color auto="1"/>
      </font>
      <alignment horizontal="right" vertical="bottom" textRotation="0" wrapText="0" indent="0" justifyLastLine="0" shrinkToFit="0" readingOrder="0"/>
      <protection locked="0" hidden="0"/>
    </dxf>
    <dxf>
      <protection locked="0" hidden="0"/>
    </dxf>
    <dxf>
      <font>
        <strike val="0"/>
        <outline val="0"/>
        <shadow val="0"/>
        <u val="none"/>
        <vertAlign val="baseline"/>
        <color auto="1"/>
      </font>
      <protection locked="0" hidden="0"/>
    </dxf>
    <dxf>
      <protection locked="0" hidden="0"/>
    </dxf>
    <dxf>
      <font>
        <strike val="0"/>
        <outline val="0"/>
        <shadow val="0"/>
        <u val="none"/>
        <vertAlign val="baseline"/>
        <color auto="1"/>
      </font>
      <protection locked="0" hidden="0"/>
    </dxf>
    <dxf>
      <protection locked="0" hidden="0"/>
    </dxf>
    <dxf>
      <font>
        <strike val="0"/>
        <outline val="0"/>
        <shadow val="0"/>
        <u val="none"/>
        <vertAlign val="baseline"/>
        <color auto="1"/>
      </font>
      <alignment horizontal="right" vertical="bottom" textRotation="0" wrapText="0" indent="0" justifyLastLine="0" shrinkToFit="0" readingOrder="0"/>
      <protection locked="0" hidden="0"/>
    </dxf>
    <dxf>
      <protection locked="0" hidden="0"/>
    </dxf>
    <dxf>
      <font>
        <strike val="0"/>
        <outline val="0"/>
        <shadow val="0"/>
        <u val="none"/>
        <vertAlign val="baseline"/>
        <color auto="1"/>
      </font>
      <numFmt numFmtId="19" formatCode="dd/mm/yyyy"/>
      <protection locked="0" hidden="0"/>
    </dxf>
    <dxf>
      <protection locked="0" hidden="0"/>
    </dxf>
    <dxf>
      <font>
        <strike val="0"/>
        <outline val="0"/>
        <shadow val="0"/>
        <u val="none"/>
        <vertAlign val="baseline"/>
        <color auto="1"/>
      </font>
      <numFmt numFmtId="19" formatCode="dd/mm/yyyy"/>
      <border diagonalUp="0" diagonalDown="0">
        <left style="medium">
          <color indexed="64"/>
        </left>
        <right/>
        <top/>
        <bottom/>
        <vertical/>
        <horizontal/>
      </border>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border diagonalUp="0" diagonalDown="0">
        <left/>
        <right style="medium">
          <color indexed="64"/>
        </right>
        <top/>
        <bottom/>
        <vertical/>
        <horizontal/>
      </border>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sz val="11"/>
        <color auto="1"/>
        <name val="Aptos Narrow"/>
        <family val="2"/>
        <scheme val="minor"/>
      </font>
      <numFmt numFmtId="0" formatCode="General"/>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1"/>
        <color auto="1"/>
        <name val="Aptos Narrow"/>
        <family val="2"/>
        <scheme val="minor"/>
      </font>
      <alignment horizontal="right" vertical="bottom"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1"/>
        <color auto="1"/>
        <name val="Aptos Narrow"/>
        <family val="2"/>
        <scheme val="minor"/>
      </font>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u val="none"/>
        <vertAlign val="baseline"/>
        <color auto="1"/>
      </font>
      <border diagonalUp="0" diagonalDown="0">
        <left style="medium">
          <color indexed="64"/>
        </left>
        <right/>
        <top/>
        <bottom/>
        <vertical/>
        <horizontal/>
      </border>
      <protection locked="0" hidden="0"/>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border diagonalUp="0" diagonalDown="0" outline="0">
        <left/>
        <right style="medium">
          <color indexed="64"/>
        </right>
        <top style="medium">
          <color indexed="64"/>
        </top>
        <bottom style="medium">
          <color indexed="64"/>
        </bottom>
      </border>
    </dxf>
    <dxf>
      <border diagonalUp="0" diagonalDown="0" outline="0">
        <left/>
        <right style="medium">
          <color indexed="64"/>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alignment horizontal="right" vertical="bottom" textRotation="0" wrapText="0" indent="0" justifyLastLine="0" shrinkToFit="0" readingOrder="0"/>
      <border diagonalUp="0" diagonalDown="0" outline="0">
        <left/>
        <right/>
        <top style="medium">
          <color indexed="64"/>
        </top>
        <bottom style="medium">
          <color indexed="64"/>
        </bottom>
      </border>
      <protection locked="0" hidden="0"/>
    </dxf>
    <dxf>
      <border diagonalUp="0" diagonalDown="0" outline="0">
        <left/>
        <right/>
        <top style="medium">
          <color indexed="64"/>
        </top>
        <bottom style="medium">
          <color indexed="64"/>
        </bottom>
      </border>
      <protection locked="0" hidden="0"/>
    </dxf>
    <dxf>
      <border diagonalUp="0" diagonalDown="0" outline="0">
        <left style="medium">
          <color indexed="64"/>
        </left>
        <right/>
        <top style="medium">
          <color indexed="64"/>
        </top>
        <bottom style="medium">
          <color indexed="64"/>
        </bottom>
      </border>
      <protection locked="0" hidden="0"/>
    </dxf>
    <dxf>
      <border diagonalUp="0" diagonalDown="0">
        <left/>
        <right style="medium">
          <color indexed="64"/>
        </right>
        <vertical/>
      </border>
      <protection locked="0" hidden="0"/>
    </dxf>
    <dxf>
      <protection locked="0" hidden="0"/>
    </dxf>
    <dxf>
      <numFmt numFmtId="0" formatCode="General"/>
      <protection locked="0" hidden="0"/>
    </dxf>
    <dxf>
      <protection locked="0" hidden="0"/>
    </dxf>
    <dxf>
      <protection locked="0" hidden="0"/>
    </dxf>
    <dxf>
      <protection locked="0" hidden="0"/>
    </dxf>
    <dxf>
      <alignment horizontal="right" vertical="bottom" textRotation="0" wrapText="0" indent="0" justifyLastLine="0" shrinkToFit="0" readingOrder="0"/>
      <protection locked="0" hidden="0"/>
    </dxf>
    <dxf>
      <protection locked="0" hidden="0"/>
    </dxf>
    <dxf>
      <border diagonalUp="0" diagonalDown="0">
        <left style="medium">
          <color indexed="64"/>
        </left>
        <right/>
        <top/>
        <bottom/>
        <vertical/>
        <horizontal/>
      </border>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border diagonalUp="0" diagonalDown="0">
        <left/>
        <right style="medium">
          <color indexed="64"/>
        </right>
        <top/>
        <bottom/>
        <vertical/>
        <horizontal/>
      </border>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numFmt numFmtId="0" formatCode="General"/>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border diagonalUp="0" diagonalDown="0">
        <left style="medium">
          <color indexed="64"/>
        </left>
        <right style="medium">
          <color indexed="64"/>
        </right>
        <top style="medium">
          <color indexed="64"/>
        </top>
        <bottom style="medium">
          <color indexed="64"/>
        </bottom>
        <vertical/>
        <horizontal/>
      </border>
      <protection locked="0" hidden="0"/>
    </dxf>
    <dxf>
      <protection locked="0" hidden="0"/>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border diagonalUp="0" diagonalDown="0" outline="0">
        <left/>
        <right style="medium">
          <color indexed="64"/>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numFmt numFmtId="19" formatCode="dd/mm/yyyy"/>
      <border diagonalUp="0" diagonalDown="0" outline="0">
        <left/>
        <right/>
        <top/>
        <bottom style="medium">
          <color indexed="64"/>
        </bottom>
      </border>
      <protection locked="0" hidden="0"/>
    </dxf>
    <dxf>
      <numFmt numFmtId="19" formatCode="dd/mm/yyyy"/>
      <border diagonalUp="0" diagonalDown="0" outline="0">
        <left style="medium">
          <color indexed="64"/>
        </left>
        <right/>
        <top/>
        <bottom style="medium">
          <color indexed="64"/>
        </bottom>
      </border>
      <protection locked="0" hidden="0"/>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style="medium">
          <color indexed="64"/>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right/>
        <top/>
        <bottom style="medium">
          <color indexed="64"/>
        </bottom>
      </border>
      <protection locked="0" hidden="0"/>
    </dxf>
    <dxf>
      <border diagonalUp="0" diagonalDown="0" outline="0">
        <left style="medium">
          <color indexed="64"/>
        </left>
        <right/>
        <top/>
        <bottom style="medium">
          <color indexed="64"/>
        </bottom>
      </border>
      <protection locked="0" hidden="0"/>
    </dxf>
    <dxf>
      <font>
        <strike val="0"/>
        <outline val="0"/>
        <shadow val="0"/>
        <u val="none"/>
        <vertAlign val="baseline"/>
        <sz val="11"/>
        <color auto="1"/>
        <name val="Aptos Narrow"/>
        <scheme val="minor"/>
      </font>
      <border diagonalUp="0" diagonalDown="0">
        <left/>
        <right style="medium">
          <color indexed="64"/>
        </right>
        <top/>
        <bottom/>
        <vertical/>
        <horizontal/>
      </border>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numFmt numFmtId="0" formatCode="General"/>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protection locked="0" hidden="0"/>
    </dxf>
    <dxf>
      <font>
        <strike val="0"/>
        <outline val="0"/>
        <shadow val="0"/>
        <u val="none"/>
        <vertAlign val="baseline"/>
        <sz val="11"/>
        <color auto="1"/>
        <name val="Aptos Narrow"/>
        <scheme val="minor"/>
      </font>
      <border diagonalUp="0" diagonalDown="0">
        <left style="medium">
          <color indexed="64"/>
        </left>
        <right/>
        <top/>
        <bottom/>
        <vertical/>
        <horizontal/>
      </border>
      <protection locked="0" hidden="0"/>
    </dxf>
    <dxf>
      <numFmt numFmtId="35" formatCode="_-* #,##0.00_-;\-* #,##0.00_-;_-* &quot;-&quot;??_-;_-@_-"/>
      <border diagonalUp="0" diagonalDown="0">
        <left/>
        <right style="medium">
          <color indexed="64"/>
        </right>
        <vertical/>
      </border>
      <protection locked="0" hidden="0"/>
    </dxf>
    <dxf>
      <protection locked="0" hidden="0"/>
    </dxf>
    <dxf>
      <protection locked="0" hidden="0"/>
    </dxf>
    <dxf>
      <font>
        <strike val="0"/>
        <outline val="0"/>
        <shadow val="0"/>
        <u val="none"/>
        <vertAlign val="baseline"/>
        <sz val="11"/>
        <color auto="1"/>
        <name val="Aptos Narrow"/>
        <family val="2"/>
        <scheme val="minor"/>
      </font>
      <numFmt numFmtId="0" formatCode="General"/>
      <protection locked="0" hidden="0"/>
    </dxf>
    <dxf>
      <numFmt numFmtId="0" formatCode="General"/>
      <protection locked="0" hidden="0"/>
    </dxf>
    <dxf>
      <protection locked="0" hidden="0"/>
    </dxf>
    <dxf>
      <protection locked="0" hidden="0"/>
    </dxf>
    <dxf>
      <protection locked="0" hidden="0"/>
    </dxf>
    <dxf>
      <numFmt numFmtId="19" formatCode="dd/mm/yyyy"/>
      <protection locked="0" hidden="0"/>
    </dxf>
    <dxf>
      <numFmt numFmtId="19" formatCode="dd/mm/yyyy"/>
      <border diagonalUp="0" diagonalDown="0">
        <left style="medium">
          <color indexed="64"/>
        </left>
        <right/>
        <top/>
        <bottom/>
        <vertical/>
        <horizontal/>
      </border>
      <protection locked="0" hidden="0"/>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font>
        <b/>
        <i val="0"/>
        <strike val="0"/>
        <condense val="0"/>
        <extend val="0"/>
        <outline val="0"/>
        <shadow val="0"/>
        <u val="none"/>
        <vertAlign val="baseline"/>
        <sz val="11"/>
        <color auto="1"/>
        <name val="Aptos Narrow"/>
        <scheme val="minor"/>
      </font>
    </dxf>
    <dxf>
      <numFmt numFmtId="0" formatCode="General"/>
      <border diagonalUp="0" diagonalDown="0">
        <left/>
        <right style="medium">
          <color indexed="64"/>
        </right>
        <top/>
        <bottom/>
        <vertical/>
        <horizontal/>
      </border>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b val="0"/>
        <i val="0"/>
        <strike val="0"/>
        <condense val="0"/>
        <extend val="0"/>
        <outline val="0"/>
        <shadow val="0"/>
        <u val="none"/>
        <vertAlign val="baseline"/>
        <sz val="11"/>
        <color auto="1"/>
        <name val="Aptos Narrow"/>
        <family val="2"/>
        <scheme val="minor"/>
      </font>
      <numFmt numFmtId="35" formatCode="_-* #,##0.00_-;\-* #,##0.00_-;_-* &quot;-&quot;??_-;_-@_-"/>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font>
        <strike val="0"/>
        <outline val="0"/>
        <shadow val="0"/>
        <u val="none"/>
        <vertAlign val="baseline"/>
        <sz val="11"/>
        <color auto="1"/>
        <name val="Aptos Narrow"/>
        <scheme val="minor"/>
      </font>
      <numFmt numFmtId="0" formatCode="General"/>
    </dxf>
    <dxf>
      <border diagonalUp="0" diagonalDown="0">
        <left style="medium">
          <color indexed="64"/>
        </left>
        <right style="medium">
          <color indexed="64"/>
        </right>
        <top style="medium">
          <color indexed="64"/>
        </top>
        <bottom style="medium">
          <color indexed="64"/>
        </bottom>
      </border>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border diagonalUp="0" diagonalDown="0">
        <left style="medium">
          <color indexed="64"/>
        </left>
        <right style="medium">
          <color indexed="64"/>
        </right>
        <top style="medium">
          <color indexed="64"/>
        </top>
        <bottom style="medium">
          <color indexed="64"/>
        </bottom>
      </border>
    </dxf>
    <dxf>
      <numFmt numFmtId="35" formatCode="_-* #,##0.00_-;\-* #,##0.00_-;_-* &quot;-&quot;??_-;_-@_-"/>
      <border diagonalUp="0" diagonalDown="0">
        <left/>
        <right style="medium">
          <color indexed="64"/>
        </right>
        <top/>
        <bottom/>
        <vertical/>
        <horizontal/>
      </border>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font>
        <b val="0"/>
        <i val="0"/>
        <strike val="0"/>
        <condense val="0"/>
        <extend val="0"/>
        <outline val="0"/>
        <shadow val="0"/>
        <u val="none"/>
        <vertAlign val="baseline"/>
        <sz val="11"/>
        <color auto="1"/>
        <name val="Aptos Narrow"/>
        <scheme val="none"/>
      </font>
      <numFmt numFmtId="0" formatCode="General"/>
    </dxf>
    <dxf>
      <font>
        <b val="0"/>
        <i val="0"/>
        <strike val="0"/>
        <condense val="0"/>
        <extend val="0"/>
        <outline val="0"/>
        <shadow val="0"/>
        <u val="none"/>
        <vertAlign val="baseline"/>
        <sz val="11"/>
        <color auto="1"/>
        <name val="Aptos Narrow"/>
        <scheme val="none"/>
      </font>
      <numFmt numFmtId="0" formatCode="General"/>
    </dxf>
    <dxf>
      <font>
        <b val="0"/>
        <i val="0"/>
        <strike val="0"/>
        <condense val="0"/>
        <extend val="0"/>
        <outline val="0"/>
        <shadow val="0"/>
        <u val="none"/>
        <vertAlign val="baseline"/>
        <sz val="11"/>
        <color auto="1"/>
        <name val="Aptos Narrow"/>
        <scheme val="none"/>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rgb="FFFF0000"/>
        <name val="Aptos Narrow"/>
        <scheme val="none"/>
      </font>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i val="0"/>
        <strike val="0"/>
        <condense val="0"/>
        <extend val="0"/>
        <outline val="0"/>
        <shadow val="0"/>
        <u val="none"/>
        <vertAlign val="baseline"/>
        <sz val="11"/>
        <color auto="1"/>
        <name val="Aptos Narrow"/>
        <scheme val="minor"/>
      </font>
    </dxf>
    <dxf>
      <font>
        <b val="0"/>
        <i val="0"/>
        <strike val="0"/>
        <condense val="0"/>
        <extend val="0"/>
        <outline val="0"/>
        <shadow val="0"/>
        <u val="none"/>
        <vertAlign val="baseline"/>
        <sz val="11"/>
        <color auto="1"/>
        <name val="Aptos Narrow"/>
        <scheme val="minor"/>
      </font>
      <numFmt numFmtId="0" formatCode="General"/>
    </dxf>
    <dxf>
      <font>
        <b val="0"/>
        <i val="0"/>
        <strike val="0"/>
        <condense val="0"/>
        <extend val="0"/>
        <outline val="0"/>
        <shadow val="0"/>
        <u val="none"/>
        <vertAlign val="baseline"/>
        <sz val="11"/>
        <color rgb="FFFF0000"/>
        <name val="Aptos Narrow"/>
        <scheme val="minor"/>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numFmt numFmtId="35" formatCode="_-* #,##0.00_-;\-* #,##0.00_-;_-* &quot;-&quot;??_-;_-@_-"/>
    </dxf>
    <dxf>
      <font>
        <strike val="0"/>
        <outline val="0"/>
        <shadow val="0"/>
        <u val="none"/>
        <vertAlign val="baseline"/>
        <color auto="1"/>
      </font>
      <numFmt numFmtId="0" formatCode="General"/>
    </dxf>
    <dxf>
      <font>
        <strike val="0"/>
        <outline val="0"/>
        <shadow val="0"/>
        <u val="none"/>
        <vertAlign val="baseline"/>
        <color auto="1"/>
      </font>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font>
        <strike val="0"/>
        <outline val="0"/>
        <shadow val="0"/>
        <u val="none"/>
        <vertAlign val="baseline"/>
        <color auto="1"/>
      </font>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1"/>
        <color auto="1"/>
        <name val="Aptos Narrow"/>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9.jpe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jpe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jpe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212090</xdr:colOff>
      <xdr:row>18</xdr:row>
      <xdr:rowOff>106680</xdr:rowOff>
    </xdr:from>
    <xdr:to>
      <xdr:col>0</xdr:col>
      <xdr:colOff>1355957</xdr:colOff>
      <xdr:row>21</xdr:row>
      <xdr:rowOff>39103</xdr:rowOff>
    </xdr:to>
    <xdr:sp macro="" textlink="">
      <xdr:nvSpPr>
        <xdr:cNvPr id="5" name="Textfeld 5">
          <a:extLst>
            <a:ext uri="{FF2B5EF4-FFF2-40B4-BE49-F238E27FC236}">
              <a16:creationId xmlns:a16="http://schemas.microsoft.com/office/drawing/2014/main" id="{807A477A-FAC2-4B13-9655-0C977D213CE7}"/>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274320</xdr:colOff>
      <xdr:row>5</xdr:row>
      <xdr:rowOff>133984</xdr:rowOff>
    </xdr:from>
    <xdr:to>
      <xdr:col>1</xdr:col>
      <xdr:colOff>26670</xdr:colOff>
      <xdr:row>8</xdr:row>
      <xdr:rowOff>22859</xdr:rowOff>
    </xdr:to>
    <xdr:sp macro="" textlink="">
      <xdr:nvSpPr>
        <xdr:cNvPr id="6" name="Textfeld 5">
          <a:extLst>
            <a:ext uri="{FF2B5EF4-FFF2-40B4-BE49-F238E27FC236}">
              <a16:creationId xmlns:a16="http://schemas.microsoft.com/office/drawing/2014/main" id="{DC1AA5DF-0D2A-4AD1-A565-6BB06BAD0FFC}"/>
            </a:ext>
          </a:extLst>
        </xdr:cNvPr>
        <xdr:cNvSpPr txBox="1"/>
      </xdr:nvSpPr>
      <xdr:spPr>
        <a:xfrm>
          <a:off x="276225" y="1196974"/>
          <a:ext cx="1463040" cy="403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85725</xdr:colOff>
      <xdr:row>19</xdr:row>
      <xdr:rowOff>124460</xdr:rowOff>
    </xdr:from>
    <xdr:to>
      <xdr:col>1</xdr:col>
      <xdr:colOff>631911</xdr:colOff>
      <xdr:row>26</xdr:row>
      <xdr:rowOff>57785</xdr:rowOff>
    </xdr:to>
    <xdr:pic>
      <xdr:nvPicPr>
        <xdr:cNvPr id="7" name="Grafik 6">
          <a:extLst>
            <a:ext uri="{FF2B5EF4-FFF2-40B4-BE49-F238E27FC236}">
              <a16:creationId xmlns:a16="http://schemas.microsoft.com/office/drawing/2014/main" id="{3D6EE808-B939-4366-A655-6835AC334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3620135"/>
          <a:ext cx="2264496" cy="1135380"/>
        </a:xfrm>
        <a:prstGeom prst="rect">
          <a:avLst/>
        </a:prstGeom>
        <a:noFill/>
        <a:ln>
          <a:noFill/>
        </a:ln>
      </xdr:spPr>
    </xdr:pic>
    <xdr:clientData/>
  </xdr:twoCellAnchor>
  <xdr:twoCellAnchor editAs="oneCell">
    <xdr:from>
      <xdr:col>0</xdr:col>
      <xdr:colOff>274955</xdr:colOff>
      <xdr:row>7</xdr:row>
      <xdr:rowOff>38100</xdr:rowOff>
    </xdr:from>
    <xdr:to>
      <xdr:col>1</xdr:col>
      <xdr:colOff>854647</xdr:colOff>
      <xdr:row>10</xdr:row>
      <xdr:rowOff>57785</xdr:rowOff>
    </xdr:to>
    <xdr:pic>
      <xdr:nvPicPr>
        <xdr:cNvPr id="8" name="Grafik 7">
          <a:extLst>
            <a:ext uri="{FF2B5EF4-FFF2-40B4-BE49-F238E27FC236}">
              <a16:creationId xmlns:a16="http://schemas.microsoft.com/office/drawing/2014/main" id="{17A1AA45-B2CA-4DF3-8B6E-75F0EC532D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955" y="1457325"/>
          <a:ext cx="2286572" cy="568325"/>
        </a:xfrm>
        <a:prstGeom prst="rect">
          <a:avLst/>
        </a:prstGeom>
        <a:noFill/>
        <a:ln>
          <a:noFill/>
        </a:ln>
      </xdr:spPr>
    </xdr:pic>
    <xdr:clientData/>
  </xdr:twoCellAnchor>
  <xdr:twoCellAnchor editAs="oneCell">
    <xdr:from>
      <xdr:col>0</xdr:col>
      <xdr:colOff>450851</xdr:colOff>
      <xdr:row>10</xdr:row>
      <xdr:rowOff>153671</xdr:rowOff>
    </xdr:from>
    <xdr:to>
      <xdr:col>1</xdr:col>
      <xdr:colOff>854711</xdr:colOff>
      <xdr:row>16</xdr:row>
      <xdr:rowOff>35815</xdr:rowOff>
    </xdr:to>
    <xdr:pic>
      <xdr:nvPicPr>
        <xdr:cNvPr id="9" name="Grafik 8">
          <a:extLst>
            <a:ext uri="{FF2B5EF4-FFF2-40B4-BE49-F238E27FC236}">
              <a16:creationId xmlns:a16="http://schemas.microsoft.com/office/drawing/2014/main" id="{58987F83-F051-41FE-859E-8B71B2F743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0851" y="2087246"/>
          <a:ext cx="2114550" cy="91465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D99D38AE-F95E-4227-B4A0-2C80DC507CD6}"/>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E2A23160-B30B-44B9-A123-C8758BD3126C}"/>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1468744</xdr:colOff>
      <xdr:row>11</xdr:row>
      <xdr:rowOff>92711</xdr:rowOff>
    </xdr:to>
    <xdr:pic>
      <xdr:nvPicPr>
        <xdr:cNvPr id="4" name="Grafik 3">
          <a:extLst>
            <a:ext uri="{FF2B5EF4-FFF2-40B4-BE49-F238E27FC236}">
              <a16:creationId xmlns:a16="http://schemas.microsoft.com/office/drawing/2014/main" id="{A883B2B0-8C25-438B-B595-EF20956B7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1338364C-CF09-4A5A-B8E8-7CE4FDFAC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1424940</xdr:colOff>
      <xdr:row>20</xdr:row>
      <xdr:rowOff>174043</xdr:rowOff>
    </xdr:to>
    <xdr:pic>
      <xdr:nvPicPr>
        <xdr:cNvPr id="6" name="Grafik 5">
          <a:extLst>
            <a:ext uri="{FF2B5EF4-FFF2-40B4-BE49-F238E27FC236}">
              <a16:creationId xmlns:a16="http://schemas.microsoft.com/office/drawing/2014/main" id="{2ABE8C80-AA07-431F-A4C6-9A1F129B83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2123CA9E-D49B-47CD-B66C-F0D7E85FEA5E}"/>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9C04715D-CECA-40DE-8DA9-94BDA52BCF70}"/>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1464934</xdr:colOff>
      <xdr:row>11</xdr:row>
      <xdr:rowOff>96521</xdr:rowOff>
    </xdr:to>
    <xdr:pic>
      <xdr:nvPicPr>
        <xdr:cNvPr id="4" name="Grafik 3">
          <a:extLst>
            <a:ext uri="{FF2B5EF4-FFF2-40B4-BE49-F238E27FC236}">
              <a16:creationId xmlns:a16="http://schemas.microsoft.com/office/drawing/2014/main" id="{A68ACE41-BE31-4CF3-A44E-DF0FA200D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C16E9775-3627-442E-A49E-C91E50CA72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97843</xdr:rowOff>
    </xdr:to>
    <xdr:pic>
      <xdr:nvPicPr>
        <xdr:cNvPr id="6" name="Grafik 5">
          <a:extLst>
            <a:ext uri="{FF2B5EF4-FFF2-40B4-BE49-F238E27FC236}">
              <a16:creationId xmlns:a16="http://schemas.microsoft.com/office/drawing/2014/main" id="{C474F94D-8BAB-43A0-B4A2-F2E36E4A8F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2B6FCE89-2801-4FBA-90BC-DD12D5D039CA}"/>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FAD77A4F-7DBD-4D1A-A48B-F162F4488C78}"/>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1464934</xdr:colOff>
      <xdr:row>11</xdr:row>
      <xdr:rowOff>96521</xdr:rowOff>
    </xdr:to>
    <xdr:pic>
      <xdr:nvPicPr>
        <xdr:cNvPr id="4" name="Grafik 3">
          <a:extLst>
            <a:ext uri="{FF2B5EF4-FFF2-40B4-BE49-F238E27FC236}">
              <a16:creationId xmlns:a16="http://schemas.microsoft.com/office/drawing/2014/main" id="{933573BD-A440-4B70-A1E7-BC3775E0C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89C91243-88E2-44DF-B69E-01A2E8046E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97843</xdr:rowOff>
    </xdr:to>
    <xdr:pic>
      <xdr:nvPicPr>
        <xdr:cNvPr id="6" name="Grafik 5">
          <a:extLst>
            <a:ext uri="{FF2B5EF4-FFF2-40B4-BE49-F238E27FC236}">
              <a16:creationId xmlns:a16="http://schemas.microsoft.com/office/drawing/2014/main" id="{773ACE5B-CA48-4795-9126-0B3D22F1F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9" name="Textfeld 5">
          <a:extLst>
            <a:ext uri="{FF2B5EF4-FFF2-40B4-BE49-F238E27FC236}">
              <a16:creationId xmlns:a16="http://schemas.microsoft.com/office/drawing/2014/main" id="{A0A06E40-D439-4E65-8597-8A508ED7D58B}"/>
            </a:ext>
          </a:extLst>
        </xdr:cNvPr>
        <xdr:cNvSpPr txBox="1"/>
      </xdr:nvSpPr>
      <xdr:spPr>
        <a:xfrm>
          <a:off x="48260" y="261874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1409700</xdr:colOff>
      <xdr:row>10</xdr:row>
      <xdr:rowOff>60325</xdr:rowOff>
    </xdr:to>
    <xdr:sp macro="" textlink="">
      <xdr:nvSpPr>
        <xdr:cNvPr id="10" name="Textfeld 9">
          <a:extLst>
            <a:ext uri="{FF2B5EF4-FFF2-40B4-BE49-F238E27FC236}">
              <a16:creationId xmlns:a16="http://schemas.microsoft.com/office/drawing/2014/main" id="{FCE042CB-6864-4E4E-9D58-FC5600E91A6F}"/>
            </a:ext>
          </a:extLst>
        </xdr:cNvPr>
        <xdr:cNvSpPr txBox="1"/>
      </xdr:nvSpPr>
      <xdr:spPr>
        <a:xfrm>
          <a:off x="0" y="1247775"/>
          <a:ext cx="1409700" cy="403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1466839</xdr:colOff>
      <xdr:row>11</xdr:row>
      <xdr:rowOff>98426</xdr:rowOff>
    </xdr:to>
    <xdr:pic>
      <xdr:nvPicPr>
        <xdr:cNvPr id="11" name="Grafik 10">
          <a:extLst>
            <a:ext uri="{FF2B5EF4-FFF2-40B4-BE49-F238E27FC236}">
              <a16:creationId xmlns:a16="http://schemas.microsoft.com/office/drawing/2014/main" id="{C0C1F97D-198E-433D-A392-DCA565C0CA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45" y="1513841"/>
          <a:ext cx="1422389" cy="348615"/>
        </a:xfrm>
        <a:prstGeom prst="rect">
          <a:avLst/>
        </a:prstGeom>
        <a:noFill/>
        <a:ln>
          <a:noFill/>
        </a:ln>
      </xdr:spPr>
    </xdr:pic>
    <xdr:clientData/>
  </xdr:twoCellAnchor>
  <xdr:twoCellAnchor editAs="oneCell">
    <xdr:from>
      <xdr:col>0</xdr:col>
      <xdr:colOff>100331</xdr:colOff>
      <xdr:row>12</xdr:row>
      <xdr:rowOff>637</xdr:rowOff>
    </xdr:from>
    <xdr:to>
      <xdr:col>0</xdr:col>
      <xdr:colOff>1276350</xdr:colOff>
      <xdr:row>14</xdr:row>
      <xdr:rowOff>154276</xdr:rowOff>
    </xdr:to>
    <xdr:pic>
      <xdr:nvPicPr>
        <xdr:cNvPr id="12" name="Grafik 11">
          <a:extLst>
            <a:ext uri="{FF2B5EF4-FFF2-40B4-BE49-F238E27FC236}">
              <a16:creationId xmlns:a16="http://schemas.microsoft.com/office/drawing/2014/main" id="{23A04D6A-B249-42DA-BC61-DAC4ABA012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1" y="1934212"/>
          <a:ext cx="116458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97843</xdr:rowOff>
    </xdr:to>
    <xdr:pic>
      <xdr:nvPicPr>
        <xdr:cNvPr id="13" name="Grafik 12">
          <a:extLst>
            <a:ext uri="{FF2B5EF4-FFF2-40B4-BE49-F238E27FC236}">
              <a16:creationId xmlns:a16="http://schemas.microsoft.com/office/drawing/2014/main" id="{7D1C0B11-E0E0-4C02-9B6F-5A486C08EE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720" y="2862581"/>
          <a:ext cx="1381125" cy="70617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53975</xdr:colOff>
      <xdr:row>16</xdr:row>
      <xdr:rowOff>3176</xdr:rowOff>
    </xdr:from>
    <xdr:to>
      <xdr:col>0</xdr:col>
      <xdr:colOff>1197842</xdr:colOff>
      <xdr:row>18</xdr:row>
      <xdr:rowOff>91809</xdr:rowOff>
    </xdr:to>
    <xdr:sp macro="" textlink="">
      <xdr:nvSpPr>
        <xdr:cNvPr id="11" name="Textfeld 5">
          <a:extLst>
            <a:ext uri="{FF2B5EF4-FFF2-40B4-BE49-F238E27FC236}">
              <a16:creationId xmlns:a16="http://schemas.microsoft.com/office/drawing/2014/main" id="{C2EB2BBC-C8DC-42E2-BC2E-98146C2A415D}"/>
            </a:ext>
          </a:extLst>
        </xdr:cNvPr>
        <xdr:cNvSpPr txBox="1"/>
      </xdr:nvSpPr>
      <xdr:spPr>
        <a:xfrm>
          <a:off x="53975" y="2651126"/>
          <a:ext cx="1143867" cy="43153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1409700</xdr:colOff>
      <xdr:row>10</xdr:row>
      <xdr:rowOff>60325</xdr:rowOff>
    </xdr:to>
    <xdr:sp macro="" textlink="">
      <xdr:nvSpPr>
        <xdr:cNvPr id="12" name="Textfeld 11">
          <a:extLst>
            <a:ext uri="{FF2B5EF4-FFF2-40B4-BE49-F238E27FC236}">
              <a16:creationId xmlns:a16="http://schemas.microsoft.com/office/drawing/2014/main" id="{EEB879C0-0E8D-4310-BDAB-6232CDB68F73}"/>
            </a:ext>
          </a:extLst>
        </xdr:cNvPr>
        <xdr:cNvSpPr txBox="1"/>
      </xdr:nvSpPr>
      <xdr:spPr>
        <a:xfrm>
          <a:off x="0" y="1276350"/>
          <a:ext cx="1409700" cy="403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46355</xdr:colOff>
      <xdr:row>9</xdr:row>
      <xdr:rowOff>94616</xdr:rowOff>
    </xdr:from>
    <xdr:to>
      <xdr:col>0</xdr:col>
      <xdr:colOff>1464934</xdr:colOff>
      <xdr:row>11</xdr:row>
      <xdr:rowOff>98426</xdr:rowOff>
    </xdr:to>
    <xdr:pic>
      <xdr:nvPicPr>
        <xdr:cNvPr id="13" name="Grafik 12">
          <a:extLst>
            <a:ext uri="{FF2B5EF4-FFF2-40B4-BE49-F238E27FC236}">
              <a16:creationId xmlns:a16="http://schemas.microsoft.com/office/drawing/2014/main" id="{C476878C-8C0E-44FC-847A-A10DF9C71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55" y="1542416"/>
          <a:ext cx="1424294" cy="342900"/>
        </a:xfrm>
        <a:prstGeom prst="rect">
          <a:avLst/>
        </a:prstGeom>
        <a:noFill/>
        <a:ln>
          <a:noFill/>
        </a:ln>
      </xdr:spPr>
    </xdr:pic>
    <xdr:clientData/>
  </xdr:twoCellAnchor>
  <xdr:twoCellAnchor editAs="oneCell">
    <xdr:from>
      <xdr:col>0</xdr:col>
      <xdr:colOff>92711</xdr:colOff>
      <xdr:row>12</xdr:row>
      <xdr:rowOff>637</xdr:rowOff>
    </xdr:from>
    <xdr:to>
      <xdr:col>0</xdr:col>
      <xdr:colOff>1278255</xdr:colOff>
      <xdr:row>14</xdr:row>
      <xdr:rowOff>154276</xdr:rowOff>
    </xdr:to>
    <xdr:pic>
      <xdr:nvPicPr>
        <xdr:cNvPr id="14" name="Grafik 13">
          <a:extLst>
            <a:ext uri="{FF2B5EF4-FFF2-40B4-BE49-F238E27FC236}">
              <a16:creationId xmlns:a16="http://schemas.microsoft.com/office/drawing/2014/main" id="{F6CB0556-BF61-4924-B8BF-6ECBD00D48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711" y="1962787"/>
          <a:ext cx="1174114" cy="496539"/>
        </a:xfrm>
        <a:prstGeom prst="rect">
          <a:avLst/>
        </a:prstGeom>
        <a:noFill/>
        <a:ln>
          <a:noFill/>
        </a:ln>
      </xdr:spPr>
    </xdr:pic>
    <xdr:clientData/>
  </xdr:twoCellAnchor>
  <xdr:twoCellAnchor editAs="oneCell">
    <xdr:from>
      <xdr:col>0</xdr:col>
      <xdr:colOff>49530</xdr:colOff>
      <xdr:row>17</xdr:row>
      <xdr:rowOff>67946</xdr:rowOff>
    </xdr:from>
    <xdr:to>
      <xdr:col>0</xdr:col>
      <xdr:colOff>1428750</xdr:colOff>
      <xdr:row>21</xdr:row>
      <xdr:rowOff>92128</xdr:rowOff>
    </xdr:to>
    <xdr:pic>
      <xdr:nvPicPr>
        <xdr:cNvPr id="15" name="Grafik 14">
          <a:extLst>
            <a:ext uri="{FF2B5EF4-FFF2-40B4-BE49-F238E27FC236}">
              <a16:creationId xmlns:a16="http://schemas.microsoft.com/office/drawing/2014/main" id="{DC0430F5-89C4-4D60-A93A-724D6E0918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530" y="2887346"/>
          <a:ext cx="1375410" cy="71188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30" name="Textfeld 5">
          <a:extLst>
            <a:ext uri="{FF2B5EF4-FFF2-40B4-BE49-F238E27FC236}">
              <a16:creationId xmlns:a16="http://schemas.microsoft.com/office/drawing/2014/main" id="{9022D8FA-4FEA-4601-89DA-E0C11CE1BB5B}"/>
            </a:ext>
          </a:extLst>
        </xdr:cNvPr>
        <xdr:cNvSpPr txBox="1"/>
      </xdr:nvSpPr>
      <xdr:spPr>
        <a:xfrm>
          <a:off x="48260" y="261874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1409700</xdr:colOff>
      <xdr:row>10</xdr:row>
      <xdr:rowOff>60325</xdr:rowOff>
    </xdr:to>
    <xdr:sp macro="" textlink="">
      <xdr:nvSpPr>
        <xdr:cNvPr id="31" name="Textfeld 30">
          <a:extLst>
            <a:ext uri="{FF2B5EF4-FFF2-40B4-BE49-F238E27FC236}">
              <a16:creationId xmlns:a16="http://schemas.microsoft.com/office/drawing/2014/main" id="{72666840-856F-4730-90BD-9FEB836343CF}"/>
            </a:ext>
          </a:extLst>
        </xdr:cNvPr>
        <xdr:cNvSpPr txBox="1"/>
      </xdr:nvSpPr>
      <xdr:spPr>
        <a:xfrm>
          <a:off x="0" y="1247775"/>
          <a:ext cx="1409700" cy="403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1466839</xdr:colOff>
      <xdr:row>11</xdr:row>
      <xdr:rowOff>92711</xdr:rowOff>
    </xdr:to>
    <xdr:pic>
      <xdr:nvPicPr>
        <xdr:cNvPr id="32" name="Grafik 31">
          <a:extLst>
            <a:ext uri="{FF2B5EF4-FFF2-40B4-BE49-F238E27FC236}">
              <a16:creationId xmlns:a16="http://schemas.microsoft.com/office/drawing/2014/main" id="{E75E1E89-0345-43F1-A312-C690D5202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45" y="1513841"/>
          <a:ext cx="1422389" cy="34480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33" name="Grafik 32">
          <a:extLst>
            <a:ext uri="{FF2B5EF4-FFF2-40B4-BE49-F238E27FC236}">
              <a16:creationId xmlns:a16="http://schemas.microsoft.com/office/drawing/2014/main" id="{EB529987-A958-43A2-A042-4CCD48ED76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1" y="19342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94033</xdr:rowOff>
    </xdr:to>
    <xdr:pic>
      <xdr:nvPicPr>
        <xdr:cNvPr id="34" name="Grafik 33">
          <a:extLst>
            <a:ext uri="{FF2B5EF4-FFF2-40B4-BE49-F238E27FC236}">
              <a16:creationId xmlns:a16="http://schemas.microsoft.com/office/drawing/2014/main" id="{F02D27E7-AFD8-4BC8-8462-1D17DB16F1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720" y="2862581"/>
          <a:ext cx="1381125" cy="70998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9" name="Textfeld 5">
          <a:extLst>
            <a:ext uri="{FF2B5EF4-FFF2-40B4-BE49-F238E27FC236}">
              <a16:creationId xmlns:a16="http://schemas.microsoft.com/office/drawing/2014/main" id="{916A6252-DAA8-4240-9447-CC61221A6F9C}"/>
            </a:ext>
          </a:extLst>
        </xdr:cNvPr>
        <xdr:cNvSpPr txBox="1"/>
      </xdr:nvSpPr>
      <xdr:spPr>
        <a:xfrm>
          <a:off x="48260" y="2647316"/>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10" name="Textfeld 9">
          <a:extLst>
            <a:ext uri="{FF2B5EF4-FFF2-40B4-BE49-F238E27FC236}">
              <a16:creationId xmlns:a16="http://schemas.microsoft.com/office/drawing/2014/main" id="{5F610955-B92D-4CFE-A528-C2A4F7489BEC}"/>
            </a:ext>
          </a:extLst>
        </xdr:cNvPr>
        <xdr:cNvSpPr txBox="1"/>
      </xdr:nvSpPr>
      <xdr:spPr>
        <a:xfrm>
          <a:off x="0" y="1276350"/>
          <a:ext cx="1569720" cy="403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1468744</xdr:colOff>
      <xdr:row>11</xdr:row>
      <xdr:rowOff>92711</xdr:rowOff>
    </xdr:to>
    <xdr:pic>
      <xdr:nvPicPr>
        <xdr:cNvPr id="11" name="Grafik 10">
          <a:extLst>
            <a:ext uri="{FF2B5EF4-FFF2-40B4-BE49-F238E27FC236}">
              <a16:creationId xmlns:a16="http://schemas.microsoft.com/office/drawing/2014/main" id="{54E0D182-FB6B-437D-BB27-2BA5D7F32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45" y="1542416"/>
          <a:ext cx="1416674" cy="34480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12" name="Grafik 11">
          <a:extLst>
            <a:ext uri="{FF2B5EF4-FFF2-40B4-BE49-F238E27FC236}">
              <a16:creationId xmlns:a16="http://schemas.microsoft.com/office/drawing/2014/main" id="{34D10810-AE42-48BB-BFB4-F3DFE54BE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1" y="1962787"/>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1424940</xdr:colOff>
      <xdr:row>21</xdr:row>
      <xdr:rowOff>94033</xdr:rowOff>
    </xdr:to>
    <xdr:pic>
      <xdr:nvPicPr>
        <xdr:cNvPr id="13" name="Grafik 12">
          <a:extLst>
            <a:ext uri="{FF2B5EF4-FFF2-40B4-BE49-F238E27FC236}">
              <a16:creationId xmlns:a16="http://schemas.microsoft.com/office/drawing/2014/main" id="{F22264F8-2E9F-4A6B-9923-274B23198E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720" y="2891156"/>
          <a:ext cx="1377315" cy="70998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C9570C3B-9EF3-4EA0-AD76-D0C1EFE125F6}"/>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56E9DA64-264F-4737-9D53-CEB459722876}"/>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1468744</xdr:colOff>
      <xdr:row>11</xdr:row>
      <xdr:rowOff>92711</xdr:rowOff>
    </xdr:to>
    <xdr:pic>
      <xdr:nvPicPr>
        <xdr:cNvPr id="4" name="Grafik 3">
          <a:extLst>
            <a:ext uri="{FF2B5EF4-FFF2-40B4-BE49-F238E27FC236}">
              <a16:creationId xmlns:a16="http://schemas.microsoft.com/office/drawing/2014/main" id="{767500C8-EAC5-4DF2-AC80-A32AA846C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64C0085E-2D14-492F-8BDF-597C86A5C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1424940</xdr:colOff>
      <xdr:row>21</xdr:row>
      <xdr:rowOff>94033</xdr:rowOff>
    </xdr:to>
    <xdr:pic>
      <xdr:nvPicPr>
        <xdr:cNvPr id="6" name="Grafik 5">
          <a:extLst>
            <a:ext uri="{FF2B5EF4-FFF2-40B4-BE49-F238E27FC236}">
              <a16:creationId xmlns:a16="http://schemas.microsoft.com/office/drawing/2014/main" id="{B7FED4FF-F2CB-4388-B4BA-917B9AFE3F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78735B5A-0162-4F64-B6E3-CC64EE443575}"/>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9E8524D6-BA6A-4047-9A1F-9AC6414A63A2}"/>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1464934</xdr:colOff>
      <xdr:row>11</xdr:row>
      <xdr:rowOff>96521</xdr:rowOff>
    </xdr:to>
    <xdr:pic>
      <xdr:nvPicPr>
        <xdr:cNvPr id="4" name="Grafik 3">
          <a:extLst>
            <a:ext uri="{FF2B5EF4-FFF2-40B4-BE49-F238E27FC236}">
              <a16:creationId xmlns:a16="http://schemas.microsoft.com/office/drawing/2014/main" id="{6C4C11BB-FEDA-4849-A302-2747C9611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2DEF9684-A58A-45BB-A395-C69D8C5F79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97843</xdr:rowOff>
    </xdr:to>
    <xdr:pic>
      <xdr:nvPicPr>
        <xdr:cNvPr id="6" name="Grafik 5">
          <a:extLst>
            <a:ext uri="{FF2B5EF4-FFF2-40B4-BE49-F238E27FC236}">
              <a16:creationId xmlns:a16="http://schemas.microsoft.com/office/drawing/2014/main" id="{2F91DE1C-2F62-4BFA-8324-4331369C1A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C4667C2B-069C-4DA6-B511-5AA9DDBDA152}"/>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196F735B-CD85-4262-A93F-6ADD0813C245}"/>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1468744</xdr:colOff>
      <xdr:row>11</xdr:row>
      <xdr:rowOff>92711</xdr:rowOff>
    </xdr:to>
    <xdr:pic>
      <xdr:nvPicPr>
        <xdr:cNvPr id="4" name="Grafik 3">
          <a:extLst>
            <a:ext uri="{FF2B5EF4-FFF2-40B4-BE49-F238E27FC236}">
              <a16:creationId xmlns:a16="http://schemas.microsoft.com/office/drawing/2014/main" id="{726EB4B7-29B7-4206-A3C8-BB8F2981A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366514D0-9734-4962-91D5-C3649622D0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1424940</xdr:colOff>
      <xdr:row>21</xdr:row>
      <xdr:rowOff>94033</xdr:rowOff>
    </xdr:to>
    <xdr:pic>
      <xdr:nvPicPr>
        <xdr:cNvPr id="6" name="Grafik 5">
          <a:extLst>
            <a:ext uri="{FF2B5EF4-FFF2-40B4-BE49-F238E27FC236}">
              <a16:creationId xmlns:a16="http://schemas.microsoft.com/office/drawing/2014/main" id="{1C70AB6B-F4A3-4E86-AAFF-A232041D2D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48260</xdr:colOff>
      <xdr:row>15</xdr:row>
      <xdr:rowOff>170816</xdr:rowOff>
    </xdr:from>
    <xdr:to>
      <xdr:col>0</xdr:col>
      <xdr:colOff>1192127</xdr:colOff>
      <xdr:row>18</xdr:row>
      <xdr:rowOff>91809</xdr:rowOff>
    </xdr:to>
    <xdr:sp macro="" textlink="">
      <xdr:nvSpPr>
        <xdr:cNvPr id="2" name="Textfeld 5">
          <a:extLst>
            <a:ext uri="{FF2B5EF4-FFF2-40B4-BE49-F238E27FC236}">
              <a16:creationId xmlns:a16="http://schemas.microsoft.com/office/drawing/2014/main" id="{76D61F2C-85D3-4BA0-9595-FE1E75444C34}"/>
            </a:ext>
          </a:extLst>
        </xdr:cNvPr>
        <xdr:cNvSpPr txBox="1"/>
      </xdr:nvSpPr>
      <xdr:spPr>
        <a:xfrm>
          <a:off x="50165" y="2660651"/>
          <a:ext cx="1143867" cy="4353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xdr:row>
      <xdr:rowOff>0</xdr:rowOff>
    </xdr:from>
    <xdr:to>
      <xdr:col>0</xdr:col>
      <xdr:colOff>1569720</xdr:colOff>
      <xdr:row>10</xdr:row>
      <xdr:rowOff>60325</xdr:rowOff>
    </xdr:to>
    <xdr:sp macro="" textlink="">
      <xdr:nvSpPr>
        <xdr:cNvPr id="3" name="Textfeld 2">
          <a:extLst>
            <a:ext uri="{FF2B5EF4-FFF2-40B4-BE49-F238E27FC236}">
              <a16:creationId xmlns:a16="http://schemas.microsoft.com/office/drawing/2014/main" id="{CBD6540D-8415-48E7-AF7F-5503648E7820}"/>
            </a:ext>
          </a:extLst>
        </xdr:cNvPr>
        <xdr:cNvSpPr txBox="1"/>
      </xdr:nvSpPr>
      <xdr:spPr>
        <a:xfrm>
          <a:off x="0" y="1285875"/>
          <a:ext cx="1571625" cy="3994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twoCellAnchor editAs="oneCell">
    <xdr:from>
      <xdr:col>0</xdr:col>
      <xdr:colOff>42545</xdr:colOff>
      <xdr:row>9</xdr:row>
      <xdr:rowOff>94616</xdr:rowOff>
    </xdr:from>
    <xdr:to>
      <xdr:col>0</xdr:col>
      <xdr:colOff>1464934</xdr:colOff>
      <xdr:row>11</xdr:row>
      <xdr:rowOff>96521</xdr:rowOff>
    </xdr:to>
    <xdr:pic>
      <xdr:nvPicPr>
        <xdr:cNvPr id="4" name="Grafik 3">
          <a:extLst>
            <a:ext uri="{FF2B5EF4-FFF2-40B4-BE49-F238E27FC236}">
              <a16:creationId xmlns:a16="http://schemas.microsoft.com/office/drawing/2014/main" id="{E576948F-780A-414E-BBF3-40233953F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55751"/>
          <a:ext cx="1424294" cy="337185"/>
        </a:xfrm>
        <a:prstGeom prst="rect">
          <a:avLst/>
        </a:prstGeom>
        <a:noFill/>
        <a:ln>
          <a:noFill/>
        </a:ln>
      </xdr:spPr>
    </xdr:pic>
    <xdr:clientData/>
  </xdr:twoCellAnchor>
  <xdr:twoCellAnchor editAs="oneCell">
    <xdr:from>
      <xdr:col>0</xdr:col>
      <xdr:colOff>100331</xdr:colOff>
      <xdr:row>12</xdr:row>
      <xdr:rowOff>637</xdr:rowOff>
    </xdr:from>
    <xdr:to>
      <xdr:col>0</xdr:col>
      <xdr:colOff>1257300</xdr:colOff>
      <xdr:row>14</xdr:row>
      <xdr:rowOff>154276</xdr:rowOff>
    </xdr:to>
    <xdr:pic>
      <xdr:nvPicPr>
        <xdr:cNvPr id="5" name="Grafik 4">
          <a:extLst>
            <a:ext uri="{FF2B5EF4-FFF2-40B4-BE49-F238E27FC236}">
              <a16:creationId xmlns:a16="http://schemas.microsoft.com/office/drawing/2014/main" id="{760F52E7-B52A-4EA9-995D-EF8E61A7D0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21" y="1972312"/>
          <a:ext cx="1160779" cy="496539"/>
        </a:xfrm>
        <a:prstGeom prst="rect">
          <a:avLst/>
        </a:prstGeom>
        <a:noFill/>
        <a:ln>
          <a:noFill/>
        </a:ln>
      </xdr:spPr>
    </xdr:pic>
    <xdr:clientData/>
  </xdr:twoCellAnchor>
  <xdr:twoCellAnchor editAs="oneCell">
    <xdr:from>
      <xdr:col>0</xdr:col>
      <xdr:colOff>45720</xdr:colOff>
      <xdr:row>17</xdr:row>
      <xdr:rowOff>71756</xdr:rowOff>
    </xdr:from>
    <xdr:to>
      <xdr:col>0</xdr:col>
      <xdr:colOff>1428750</xdr:colOff>
      <xdr:row>21</xdr:row>
      <xdr:rowOff>97843</xdr:rowOff>
    </xdr:to>
    <xdr:pic>
      <xdr:nvPicPr>
        <xdr:cNvPr id="6" name="Grafik 5">
          <a:extLst>
            <a:ext uri="{FF2B5EF4-FFF2-40B4-BE49-F238E27FC236}">
              <a16:creationId xmlns:a16="http://schemas.microsoft.com/office/drawing/2014/main" id="{6E4DCDC3-9AF0-4275-A7CA-E7C727690A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898776"/>
          <a:ext cx="1377315" cy="709982"/>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7:V40" totalsRowCount="1">
  <autoFilter ref="B7:V39" xr:uid="{00000000-0009-0000-0100-000002000000}"/>
  <tableColumns count="21">
    <tableColumn id="1" xr3:uid="{00000000-0010-0000-0000-000001000000}" name="Von" dataDxfId="234" totalsRowDxfId="194"/>
    <tableColumn id="2" xr3:uid="{00000000-0010-0000-0000-000002000000}" name="Bis" dataDxfId="233" totalsRowDxfId="193"/>
    <tableColumn id="3" xr3:uid="{00000000-0010-0000-0000-000003000000}" name="Anzahl Studierende " dataDxfId="232" totalsRowDxfId="192"/>
    <tableColumn id="6" xr3:uid="{00000000-0010-0000-0000-000006000000}" name="Abfahrt " dataDxfId="231" totalsRowDxfId="191"/>
    <tableColumn id="7" xr3:uid="{00000000-0010-0000-0000-000007000000}" name="Ziel" dataDxfId="230" totalsRowDxfId="190"/>
    <tableColumn id="12" xr3:uid="{B54CF8DE-D62F-4DA2-B998-63D1E5266F8F}" name="Entfernung (km) einfach" dataDxfId="229" totalsRowDxfId="189"/>
    <tableColumn id="8" xr3:uid="{00000000-0010-0000-0000-000008000000}" name="Entfernung (km) gesamt" dataDxfId="228" totalsRowDxfId="188">
      <calculatedColumnFormula>Tabelle2[[#This Row],[Entfernung (km) einfach]]*2</calculatedColumnFormula>
    </tableColumn>
    <tableColumn id="9" xr3:uid="{00000000-0010-0000-0000-000009000000}" name="Verkehrsmittel" dataDxfId="227" totalsRowDxfId="187"/>
    <tableColumn id="10" xr3:uid="{00000000-0010-0000-0000-00000A000000}" name="Kommentare" dataDxfId="226" totalsRowDxfId="186"/>
    <tableColumn id="4" xr3:uid="{36C6C921-5654-4D48-A189-30436CA901FD}" name="Km Bus" totalsRowFunction="custom" dataDxfId="225" totalsRowDxfId="185">
      <calculatedColumnFormula>IF(Tabelle2[[#This Row],[Verkehrsmittel]]="Bus",Tabelle2[[#This Row],[Entfernung (km) gesamt]],0)*Tabelle2[[#This Row],[Anzahl Studierende ]]</calculatedColumnFormula>
      <totalsRowFormula>SUM(Tabelle2[Km Bus])</totalsRowFormula>
    </tableColumn>
    <tableColumn id="5" xr3:uid="{F7A56A2E-06A2-4DE2-ADC8-4E06299A3B94}" name="Km Bahn" totalsRowFunction="custom" dataDxfId="306" totalsRowDxfId="184">
      <calculatedColumnFormula>IF(Tabelle2[[#This Row],[Verkehrsmittel]]="Bahn",Tabelle2[[#This Row],[Anzahl Studierende ]]*Tabelle2[[#This Row],[Entfernung (km) gesamt]],0)</calculatedColumnFormula>
      <totalsRowFormula>SUM(Tabelle2[Km Bahn])</totalsRowFormula>
    </tableColumn>
    <tableColumn id="11" xr3:uid="{24461616-7AFE-4673-9DBA-69535A924D67}" name="Km PKW" totalsRowFunction="custom" dataDxfId="305" totalsRowDxfId="183">
      <calculatedColumnFormula>IF(Tabelle2[[#This Row],[Verkehrsmittel]]="PKW",Tabelle2[[#This Row],[Anzahl Studierende ]]*Tabelle2[[#This Row],[Entfernung (km) gesamt]],0)</calculatedColumnFormula>
      <totalsRowFormula>SUM(Tabelle2[Km PKW])</totalsRowFormula>
    </tableColumn>
    <tableColumn id="15" xr3:uid="{75CCB601-F2BD-4FB2-800B-A5E713FFE029}" name="Flug bis 500" totalsRowFunction="custom" dataDxfId="304" totalsRowDxfId="182">
      <calculatedColumnFormula>IF(Tabelle2[[#This Row],[Verkehrsmittel]]="Flug", IF(AND(Tabelle2[[#This Row],[Entfernung (km) einfach]]&lt;500),Tabelle2[[#This Row],[Entfernung (km) gesamt]]), 0)*Tabelle2[[#This Row],[Anzahl Studierende ]]</calculatedColumnFormula>
      <totalsRowFormula>SUM(Tabelle2[Flug bis 500])</totalsRowFormula>
    </tableColumn>
    <tableColumn id="13" xr3:uid="{044D0D85-768C-4DC7-AD8E-13112054C872}" name="Flug 500 - 1000 km" totalsRowFunction="custom" dataDxfId="303" totalsRowDxfId="181">
      <calculatedColumnFormula>IF(Tabelle2[[#This Row],[Verkehrsmittel]]="Flug", IF(AND(Tabelle2[[#This Row],[Entfernung (km) einfach]]&gt;500,Tabelle2[[#This Row],[Entfernung (km) einfach]]&lt;1000),Tabelle2[[#This Row],[Entfernung (km) gesamt]], 0), 0)*Tabelle2[[#This Row],[Anzahl Studierende ]]</calculatedColumnFormula>
      <totalsRowFormula>SUM(Tabelle2[Flug 500 - 1000 km])</totalsRowFormula>
    </tableColumn>
    <tableColumn id="16" xr3:uid="{864CC71D-9FF3-4C0B-8E79-767D5A20C055}" name="Flug 1000 - 2000" totalsRowFunction="custom" dataDxfId="302" totalsRowDxfId="180">
      <calculatedColumnFormula>IF(Tabelle2[[#This Row],[Verkehrsmittel]]="Flug", IF(AND(Tabelle2[[#This Row],[Entfernung (km) einfach]]&gt;1000,Tabelle2[[#This Row],[Entfernung (km) einfach]]&lt;2000),Tabelle2[[#This Row],[Entfernung (km) gesamt]], 0), 0)*Tabelle2[[#This Row],[Anzahl Studierende ]]</calculatedColumnFormula>
      <totalsRowFormula>SUM(Tabelle2[Flug 1000 - 2000])</totalsRowFormula>
    </tableColumn>
    <tableColumn id="14" xr3:uid="{5D72A512-0640-4206-84B0-F1ADF12816CA}" name="Flug 2000 - 5000" totalsRowFunction="custom" dataDxfId="301" totalsRowDxfId="179">
      <calculatedColumnFormula>IF(Tabelle2[[#This Row],[Verkehrsmittel]]="Flug", IF(AND(Tabelle2[[#This Row],[Entfernung (km) einfach]]&gt;2000,Tabelle2[[#This Row],[Entfernung (km) einfach]]&lt;5000),Tabelle2[[#This Row],[Entfernung (km) gesamt]], 0), 0)*Tabelle2[[#This Row],[Anzahl Studierende ]]</calculatedColumnFormula>
      <totalsRowFormula>SUM(Tabelle2[Flug 2000 - 5000])</totalsRowFormula>
    </tableColumn>
    <tableColumn id="17" xr3:uid="{367BBD95-589F-4611-8EC0-97E073CA622B}" name="Flug 5000 - 10000" totalsRowFunction="custom" dataDxfId="300" totalsRowDxfId="178">
      <calculatedColumnFormula>IF(Tabelle2[[#This Row],[Verkehrsmittel]]="Flug", IF(AND(Tabelle2[[#This Row],[Entfernung (km) einfach]]&gt;5000,Tabelle2[[#This Row],[Entfernung (km) einfach]]&lt;10000),Tabelle2[[#This Row],[Entfernung (km) gesamt]], 0), 0)*Tabelle2[[#This Row],[Anzahl Studierende ]]</calculatedColumnFormula>
      <totalsRowFormula>SUM(Tabelle2[Flug 5000 - 10000])</totalsRowFormula>
    </tableColumn>
    <tableColumn id="18" xr3:uid="{5B926906-16FE-40EC-B06F-D2FD3B924F97}" name="Flug über 10000" totalsRowFunction="custom" dataDxfId="299" totalsRowDxfId="177">
      <calculatedColumnFormula>IF(Tabelle2[[#This Row],[Verkehrsmittel]]="Flug", IF(AND(Tabelle2[[#This Row],[Entfernung (km) einfach]]&gt;10000),Tabelle2[[#This Row],[Entfernung (km) gesamt]]), 0)*Tabelle2[[#This Row],[Anzahl Studierende ]]</calculatedColumnFormula>
      <totalsRowFormula>SUM(Tabelle2[Flug über 10000])</totalsRowFormula>
    </tableColumn>
    <tableColumn id="30" xr3:uid="{A0A462D8-2EFC-4F98-88D5-85BAB144F187}" name="Motorrad" totalsRowFunction="custom" dataDxfId="298" totalsRowDxfId="176">
      <calculatedColumnFormula>IF(Tabelle2[[#This Row],[Verkehrsmittel]]="Motorrad",Tabelle2[[#This Row],[Entfernung (km) gesamt]],0)*Tabelle2[[#This Row],[Anzahl Studierende ]]</calculatedColumnFormula>
      <totalsRowFormula>SUM(Tabelle2[Motorrad])</totalsRowFormula>
    </tableColumn>
    <tableColumn id="31" xr3:uid="{53374291-319C-4E62-9CBB-6C195FEC6EA6}" name="Straßen-, S-, U-Bahn" totalsRowFunction="custom" dataDxfId="297" totalsRowDxfId="175">
      <calculatedColumnFormula>IF(Tabelle2[[#This Row],[Verkehrsmittel]]="Straßen-, S-, U-Bahn",Tabelle2[[#This Row],[Entfernung (km) gesamt]],0)*Tabelle2[[#This Row],[Anzahl Studierende ]]</calculatedColumnFormula>
      <totalsRowFormula>SUM(Tabelle2[Straßen-, S-, U-Bahn])</totalsRowFormula>
    </tableColumn>
    <tableColumn id="32" xr3:uid="{805F07C7-B6C0-4F48-9F0B-F573203EA02D}" name="Fahrrad" totalsRowFunction="custom" dataDxfId="296" totalsRowDxfId="174">
      <calculatedColumnFormula>IF(Tabelle2[[#This Row],[Verkehrsmittel]]="Fahrrad",Tabelle2[[#This Row],[Entfernung (km) gesamt]],0)*Tabelle2[[#This Row],[Anzahl Studierende ]]</calculatedColumnFormula>
      <totalsRowFormula>SUM(Tabelle2[Fahrrad])</totalsRowFormula>
    </tableColum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e212" displayName="Tabelle212" ref="B7:V40" totalsRowCount="1" dataDxfId="344">
  <autoFilter ref="B7:V39" xr:uid="{00000000-0009-0000-0100-00000B000000}"/>
  <tableColumns count="21">
    <tableColumn id="1" xr3:uid="{00000000-0010-0000-0900-000001000000}" name="Von" dataDxfId="35" totalsRowDxfId="34"/>
    <tableColumn id="2" xr3:uid="{00000000-0010-0000-0900-000002000000}" name="Bis" dataDxfId="33" totalsRowDxfId="32"/>
    <tableColumn id="3" xr3:uid="{00000000-0010-0000-0900-000003000000}" name="Anzahl Studierende " dataDxfId="31" totalsRowDxfId="30"/>
    <tableColumn id="6" xr3:uid="{00000000-0010-0000-0900-000006000000}" name="Abfahrt " dataDxfId="29" totalsRowDxfId="28"/>
    <tableColumn id="7" xr3:uid="{00000000-0010-0000-0900-000007000000}" name="Ziel" dataDxfId="27" totalsRowDxfId="26"/>
    <tableColumn id="8" xr3:uid="{00000000-0010-0000-0900-000008000000}" name="Entfernung (km) einfach" dataDxfId="25" totalsRowDxfId="24"/>
    <tableColumn id="9" xr3:uid="{00000000-0010-0000-0900-000009000000}" name="Entfernung (km) gesamt" dataDxfId="23" totalsRowDxfId="22">
      <calculatedColumnFormula>Tabelle212[[#This Row],[Entfernung (km) einfach]]*2</calculatedColumnFormula>
    </tableColumn>
    <tableColumn id="10" xr3:uid="{00000000-0010-0000-0900-00000A000000}" name="Verkehrsmittel" dataDxfId="21" totalsRowDxfId="20"/>
    <tableColumn id="4" xr3:uid="{71B30402-CCC4-4517-BF2B-E74C1F482305}" name="Kommentare" dataDxfId="19" totalsRowDxfId="18"/>
    <tableColumn id="5" xr3:uid="{007230AA-730F-4EA7-BB91-554202924D89}" name="Km Bus" totalsRowFunction="custom" dataDxfId="343" totalsRowDxfId="342">
      <calculatedColumnFormula>IF(Tabelle212[[#This Row],[Verkehrsmittel]]="Bus",Tabelle212[[#This Row],[Entfernung (km) gesamt]],0)*Tabelle212[[#This Row],[Anzahl Studierende ]]</calculatedColumnFormula>
      <totalsRowFormula>SUM(Tabelle212[Km Bus])</totalsRowFormula>
    </tableColumn>
    <tableColumn id="11" xr3:uid="{419B2264-7A97-4731-A995-5663F1E8B3C6}" name="Km Bahn" totalsRowFunction="custom" dataDxfId="341" totalsRowDxfId="340">
      <calculatedColumnFormula>IF(Tabelle212[[#This Row],[Verkehrsmittel]]="Bahn",Tabelle212[[#This Row],[Anzahl Studierende ]]*Tabelle212[[#This Row],[Entfernung (km) gesamt]],0)</calculatedColumnFormula>
      <totalsRowFormula>SUM(Tabelle212[Km Bahn])</totalsRowFormula>
    </tableColumn>
    <tableColumn id="12" xr3:uid="{91A6594D-FA88-4B95-8B2A-690A4F209B90}" name="Km PKW" totalsRowFunction="custom" dataDxfId="339" totalsRowDxfId="338">
      <calculatedColumnFormula>IF(Tabelle212[[#This Row],[Verkehrsmittel]]="PKW",Tabelle212[[#This Row],[Anzahl Studierende ]]*Tabelle212[[#This Row],[Entfernung (km) gesamt]],0)</calculatedColumnFormula>
      <totalsRowFormula>SUM(Tabelle212[Km PKW])</totalsRowFormula>
    </tableColumn>
    <tableColumn id="13" xr3:uid="{C50C7FB6-D1C9-453F-8CA3-6498EDBEAC44}" name="Flug bis 500" totalsRowFunction="custom" dataDxfId="337" totalsRowDxfId="336">
      <calculatedColumnFormula>IF(Tabelle212[[#This Row],[Verkehrsmittel]]="Flug", IF(AND(Tabelle212[[#This Row],[Entfernung (km) einfach]]&lt;500),Tabelle212[[#This Row],[Entfernung (km) gesamt]]), 0)*Tabelle212[[#This Row],[Anzahl Studierende ]]</calculatedColumnFormula>
      <totalsRowFormula>SUM(Tabelle212[Flug bis 500])</totalsRowFormula>
    </tableColumn>
    <tableColumn id="14" xr3:uid="{5A20A815-243F-47D9-9444-DC30805C6D32}" name="Flug 500 - 1000 km" totalsRowFunction="custom" dataDxfId="335" totalsRowDxfId="334">
      <calculatedColumnFormula>IF(Tabelle212[[#This Row],[Verkehrsmittel]]="Flug", IF(AND(Tabelle212[[#This Row],[Entfernung (km) einfach]]&gt;500,Tabelle212[[#This Row],[Entfernung (km) einfach]]&lt;1000),Tabelle212[[#This Row],[Entfernung (km) gesamt]], 0), 0)*Tabelle212[[#This Row],[Anzahl Studierende ]]</calculatedColumnFormula>
      <totalsRowFormula>SUM(Tabelle212[Flug 500 - 1000 km])</totalsRowFormula>
    </tableColumn>
    <tableColumn id="15" xr3:uid="{49F831FE-4B35-4D00-8FF4-43E4D99E9A4E}" name="Flug 1000 - 2000" totalsRowFunction="custom" dataDxfId="333" totalsRowDxfId="332">
      <calculatedColumnFormula>IF(Tabelle212[[#This Row],[Verkehrsmittel]]="Flug", IF(AND(Tabelle212[[#This Row],[Entfernung (km) einfach]]&gt;1000,Tabelle212[[#This Row],[Entfernung (km) einfach]]&lt;2000),Tabelle212[[#This Row],[Entfernung (km) gesamt]], 0), 0)*Tabelle212[[#This Row],[Anzahl Studierende ]]</calculatedColumnFormula>
      <totalsRowFormula>SUM(Tabelle212[Flug 1000 - 2000])</totalsRowFormula>
    </tableColumn>
    <tableColumn id="16" xr3:uid="{3AD5503E-FFA5-4BD6-BD2A-C69F5D5886FB}" name="Flug 2000 - 5000" totalsRowFunction="custom" dataDxfId="331" totalsRowDxfId="330">
      <calculatedColumnFormula>IF(Tabelle212[[#This Row],[Verkehrsmittel]]="Flug", IF(AND(Tabelle212[[#This Row],[Entfernung (km) einfach]]&gt;2000,Tabelle212[[#This Row],[Entfernung (km) einfach]]&lt;5000),Tabelle212[[#This Row],[Entfernung (km) gesamt]], 0), 0)*Tabelle212[[#This Row],[Anzahl Studierende ]]</calculatedColumnFormula>
      <totalsRowFormula>SUM(Tabelle212[Flug 2000 - 5000])</totalsRowFormula>
    </tableColumn>
    <tableColumn id="17" xr3:uid="{7DDB9390-0B8A-45F8-8DF5-C65A4817037E}" name="Flug 5000 - 10000" totalsRowFunction="custom" dataDxfId="329" totalsRowDxfId="328">
      <calculatedColumnFormula>IF(Tabelle212[[#This Row],[Verkehrsmittel]]="Flug", IF(AND(Tabelle212[[#This Row],[Entfernung (km) einfach]]&gt;5000,Tabelle212[[#This Row],[Entfernung (km) einfach]]&lt;10000),Tabelle212[[#This Row],[Entfernung (km) gesamt]], 0), 0)*Tabelle212[[#This Row],[Anzahl Studierende ]]</calculatedColumnFormula>
      <totalsRowFormula>SUM(Tabelle212[Flug 5000 - 10000])</totalsRowFormula>
    </tableColumn>
    <tableColumn id="18" xr3:uid="{62967B04-3F06-4107-9FFE-707F7792471F}" name="Flug über 10000" totalsRowFunction="custom" dataDxfId="327" totalsRowDxfId="326">
      <calculatedColumnFormula>IF(Tabelle212[[#This Row],[Verkehrsmittel]]="Flug", IF(AND(Tabelle212[[#This Row],[Entfernung (km) einfach]]&gt;10000),Tabelle212[[#This Row],[Entfernung (km) gesamt]]), 0)*Tabelle212[[#This Row],[Anzahl Studierende ]]</calculatedColumnFormula>
      <totalsRowFormula>SUM(Tabelle212[Flug über 10000])</totalsRowFormula>
    </tableColumn>
    <tableColumn id="19" xr3:uid="{30034DC6-2E33-4248-8A7F-5E30F870D393}" name="Motorrad" totalsRowFunction="custom" dataDxfId="325" totalsRowDxfId="324">
      <calculatedColumnFormula>IF(Tabelle212[[#This Row],[Verkehrsmittel]]="Motorrad",Tabelle212[[#This Row],[Entfernung (km) gesamt]],0)*Tabelle212[[#This Row],[Anzahl Studierende ]]</calculatedColumnFormula>
      <totalsRowFormula>SUM(Tabelle212[Motorrad])</totalsRowFormula>
    </tableColumn>
    <tableColumn id="20" xr3:uid="{268F7571-E48D-4EA6-878E-EAD9ABA1F89F}" name="Straßen-, S-, U-Bahn" totalsRowFunction="custom" dataDxfId="323" totalsRowDxfId="322">
      <calculatedColumnFormula>IF(Tabelle212[[#This Row],[Verkehrsmittel]]="Straßen-, S-, U-Bahn",Tabelle212[[#This Row],[Entfernung (km) gesamt]],0)*Tabelle212[[#This Row],[Anzahl Studierende ]]</calculatedColumnFormula>
      <totalsRowFormula>SUM(Tabelle212[Straßen-, S-, U-Bahn])</totalsRowFormula>
    </tableColumn>
    <tableColumn id="21" xr3:uid="{63673847-D5AF-436D-B1A8-9C7DF56BA418}" name="Fahrrad" totalsRowFunction="custom" dataDxfId="321" totalsRowDxfId="320">
      <calculatedColumnFormula>IF(Tabelle212[[#This Row],[Verkehrsmittel]]="Fahrrad",Tabelle212[[#This Row],[Entfernung (km) gesamt]],0)*Tabelle212[[#This Row],[Anzahl Studierende ]]</calculatedColumnFormula>
      <totalsRowFormula>SUM(Tabelle212[Fahrrad])</totalsRowFormula>
    </tableColumn>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86A5DF7-81F6-40BA-8442-E1D9BA0BD7C8}" name="Tabelle21213" displayName="Tabelle21213" ref="B7:V40" totalsRowCount="1" dataDxfId="319">
  <autoFilter ref="B7:V39" xr:uid="{00000000-0009-0000-0100-00000B000000}"/>
  <tableColumns count="21">
    <tableColumn id="1" xr3:uid="{CBD2006C-883B-491C-8433-D0A6D63C589C}" name="Von" dataDxfId="17" totalsRowDxfId="16"/>
    <tableColumn id="2" xr3:uid="{29B0EAF7-1D62-4981-994C-9332CEA58BCB}" name="Bis" dataDxfId="15" totalsRowDxfId="14"/>
    <tableColumn id="3" xr3:uid="{2FA7C384-4E1C-4081-A6FE-4EF386D929A2}" name="Anzahl Studierende " dataDxfId="13" totalsRowDxfId="12"/>
    <tableColumn id="6" xr3:uid="{DA6C73EF-AED9-462B-B61E-107BEB478C50}" name="Abfahrt " dataDxfId="11" totalsRowDxfId="10"/>
    <tableColumn id="7" xr3:uid="{62635EC9-A597-4F08-A3F5-1FE677FAA482}" name="Ziel" dataDxfId="9" totalsRowDxfId="8"/>
    <tableColumn id="8" xr3:uid="{35E03DF7-630C-4C46-83C6-F6873A3A993E}" name="Entfernung (km) einfach" dataDxfId="7" totalsRowDxfId="6"/>
    <tableColumn id="9" xr3:uid="{E33D5093-D0EA-4FF7-8885-CFBD775BCA61}" name="Entfernung (km) gesamt" dataDxfId="5" totalsRowDxfId="4">
      <calculatedColumnFormula>Tabelle21213[[#This Row],[Entfernung (km) einfach]]*2</calculatedColumnFormula>
    </tableColumn>
    <tableColumn id="10" xr3:uid="{631951CA-8CF9-4C27-932E-62F14F7C9BFD}" name="Verkehrsmittel" dataDxfId="3" totalsRowDxfId="2"/>
    <tableColumn id="4" xr3:uid="{1AA0FBE2-DD2C-4D2A-B5D1-76A3E8E9D2DE}" name="Kommentare" dataDxfId="1" totalsRowDxfId="0"/>
    <tableColumn id="5" xr3:uid="{DCA18C73-82E4-42DB-AC46-AE15105048FB}" name="Km Bus" totalsRowFunction="custom" dataDxfId="318" totalsRowDxfId="246">
      <calculatedColumnFormula>IF(Tabelle21213[[#This Row],[Verkehrsmittel]]="Bus",Tabelle21213[[#This Row],[Entfernung (km) gesamt]],0)*Tabelle21213[[#This Row],[Anzahl Studierende ]]</calculatedColumnFormula>
      <totalsRowFormula>SUM(Tabelle21213[Km Bus])</totalsRowFormula>
    </tableColumn>
    <tableColumn id="11" xr3:uid="{BED207BF-B796-4CC2-B0A3-3EE837540F18}" name="Km Bahn" totalsRowFunction="custom" dataDxfId="317" totalsRowDxfId="245">
      <calculatedColumnFormula>IF(Tabelle21213[[#This Row],[Verkehrsmittel]]="Bahn",Tabelle21213[[#This Row],[Anzahl Studierende ]]*Tabelle21213[[#This Row],[Entfernung (km) gesamt]],0)</calculatedColumnFormula>
      <totalsRowFormula>SUM(Tabelle21213[Km Bahn])</totalsRowFormula>
    </tableColumn>
    <tableColumn id="12" xr3:uid="{E85FE56D-3313-4621-93BB-B831B881610F}" name="Km PKW" totalsRowFunction="custom" dataDxfId="316" totalsRowDxfId="244">
      <calculatedColumnFormula>IF(Tabelle21213[[#This Row],[Verkehrsmittel]]="PKW",Tabelle21213[[#This Row],[Anzahl Studierende ]]*Tabelle21213[[#This Row],[Entfernung (km) gesamt]],0)</calculatedColumnFormula>
      <totalsRowFormula>SUM(Tabelle21213[Km PKW])</totalsRowFormula>
    </tableColumn>
    <tableColumn id="13" xr3:uid="{79DD2852-F2FE-4B2B-8DB2-62A9B2BF155F}" name="Flug bis 500" totalsRowFunction="custom" dataDxfId="315" totalsRowDxfId="243">
      <calculatedColumnFormula>IF(Tabelle21213[[#This Row],[Verkehrsmittel]]="Flug", IF(AND(Tabelle21213[[#This Row],[Entfernung (km) einfach]]&lt;500),Tabelle21213[[#This Row],[Entfernung (km) gesamt]]), 0)*Tabelle21213[[#This Row],[Anzahl Studierende ]]</calculatedColumnFormula>
      <totalsRowFormula>SUM(Tabelle21213[Flug bis 500])</totalsRowFormula>
    </tableColumn>
    <tableColumn id="14" xr3:uid="{566379CD-AD10-42E0-9F98-74D601A9A1A9}" name="Flug 500 - 1000 km" totalsRowFunction="custom" dataDxfId="314" totalsRowDxfId="242">
      <calculatedColumnFormula>IF(Tabelle21213[[#This Row],[Verkehrsmittel]]="Flug", IF(AND(Tabelle21213[[#This Row],[Entfernung (km) einfach]]&gt;500,Tabelle21213[[#This Row],[Entfernung (km) einfach]]&lt;1000),Tabelle21213[[#This Row],[Entfernung (km) gesamt]], 0), 0)*Tabelle21213[[#This Row],[Anzahl Studierende ]]</calculatedColumnFormula>
      <totalsRowFormula>SUM(Tabelle21213[Flug 500 - 1000 km])</totalsRowFormula>
    </tableColumn>
    <tableColumn id="15" xr3:uid="{2FFA0D0C-11D3-4BE1-AE3B-9035BF03F0F8}" name="Flug 1000 - 2000" totalsRowFunction="custom" dataDxfId="313" totalsRowDxfId="241">
      <calculatedColumnFormula>IF(Tabelle21213[[#This Row],[Verkehrsmittel]]="Flug", IF(AND(Tabelle21213[[#This Row],[Entfernung (km) einfach]]&gt;1000,Tabelle21213[[#This Row],[Entfernung (km) einfach]]&lt;2000),Tabelle21213[[#This Row],[Entfernung (km) gesamt]], 0), 0)*Tabelle21213[[#This Row],[Anzahl Studierende ]]</calculatedColumnFormula>
      <totalsRowFormula>SUM(Tabelle21213[Flug 1000 - 2000])</totalsRowFormula>
    </tableColumn>
    <tableColumn id="16" xr3:uid="{A79858B8-437E-41C7-B72D-BF558FF94430}" name="Flug 2000 - 5000" totalsRowFunction="custom" dataDxfId="312" totalsRowDxfId="240">
      <calculatedColumnFormula>IF(Tabelle21213[[#This Row],[Verkehrsmittel]]="Flug", IF(AND(Tabelle21213[[#This Row],[Entfernung (km) einfach]]&gt;2000,Tabelle21213[[#This Row],[Entfernung (km) einfach]]&lt;5000),Tabelle21213[[#This Row],[Entfernung (km) gesamt]], 0), 0)*Tabelle21213[[#This Row],[Anzahl Studierende ]]</calculatedColumnFormula>
      <totalsRowFormula>SUM(Tabelle21213[Flug 2000 - 5000])</totalsRowFormula>
    </tableColumn>
    <tableColumn id="17" xr3:uid="{8C45D98E-5344-40B4-B2A4-A6E636900D61}" name="Flug 5000 - 10000" totalsRowFunction="custom" dataDxfId="311" totalsRowDxfId="239">
      <calculatedColumnFormula>IF(Tabelle21213[[#This Row],[Verkehrsmittel]]="Flug", IF(AND(Tabelle21213[[#This Row],[Entfernung (km) einfach]]&gt;5000,Tabelle21213[[#This Row],[Entfernung (km) einfach]]&lt;10000),Tabelle21213[[#This Row],[Entfernung (km) gesamt]], 0), 0)*Tabelle21213[[#This Row],[Anzahl Studierende ]]</calculatedColumnFormula>
      <totalsRowFormula>SUM(Tabelle21213[Flug 5000 - 10000])</totalsRowFormula>
    </tableColumn>
    <tableColumn id="18" xr3:uid="{DBB7975D-CDC8-49AD-A234-480ADCE7C60A}" name="Flug über 10000" totalsRowFunction="custom" dataDxfId="310" totalsRowDxfId="238">
      <calculatedColumnFormula>IF(Tabelle21213[[#This Row],[Verkehrsmittel]]="Flug", IF(AND(Tabelle21213[[#This Row],[Entfernung (km) einfach]]&gt;10000),Tabelle21213[[#This Row],[Entfernung (km) gesamt]]), 0)*Tabelle21213[[#This Row],[Anzahl Studierende ]]</calculatedColumnFormula>
      <totalsRowFormula>SUM(Tabelle21213[Flug über 10000])</totalsRowFormula>
    </tableColumn>
    <tableColumn id="30" xr3:uid="{443D59C3-DBB6-479B-8A97-CCD5F7E047B9}" name="Motorrad" totalsRowFunction="custom" dataDxfId="309" totalsRowDxfId="237">
      <calculatedColumnFormula>IF(Tabelle21213[[#This Row],[Verkehrsmittel]]="Motorrad",Tabelle21213[[#This Row],[Entfernung (km) gesamt]],0)*Tabelle21213[[#This Row],[Anzahl Studierende ]]</calculatedColumnFormula>
      <totalsRowFormula>SUM(Tabelle21213[Motorrad])</totalsRowFormula>
    </tableColumn>
    <tableColumn id="31" xr3:uid="{85897C63-5C21-4734-9CF2-112B8F9C80E5}" name="Straßen-, S-, U-Bahn" totalsRowFunction="custom" dataDxfId="308" totalsRowDxfId="236">
      <calculatedColumnFormula>IF(Tabelle21213[[#This Row],[Verkehrsmittel]]="Straßen-, S-, U-Bahn",Tabelle21213[[#This Row],[Entfernung (km) gesamt]],0)*Tabelle21213[[#This Row],[Anzahl Studierende ]]</calculatedColumnFormula>
      <totalsRowFormula>SUM(Tabelle21213[Straßen-, S-, U-Bahn])</totalsRowFormula>
    </tableColumn>
    <tableColumn id="32" xr3:uid="{7A9395E9-AD47-4D43-9FF6-742D7BC782AA}" name="Fahrrad" totalsRowFunction="custom" dataDxfId="307" totalsRowDxfId="235">
      <calculatedColumnFormula>IF(Tabelle21213[[#This Row],[Verkehrsmittel]]="Fahrrad",Tabelle21213[[#This Row],[Entfernung (km) gesamt]],0)*Tabelle21213[[#This Row],[Anzahl Studierende ]]</calculatedColumnFormula>
      <totalsRowFormula>SUM(Tabelle21213[Fahrrad])</totalsRow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24" displayName="Tabelle24" ref="B7:V40" totalsRowCount="1" dataDxfId="441" tableBorderDxfId="272">
  <autoFilter ref="B7:V39" xr:uid="{00000000-0009-0000-0100-000003000000}"/>
  <sortState xmlns:xlrd2="http://schemas.microsoft.com/office/spreadsheetml/2017/richdata2" ref="B8:J39">
    <sortCondition ref="B7:B39"/>
  </sortState>
  <tableColumns count="21">
    <tableColumn id="1" xr3:uid="{00000000-0010-0000-0100-000001000000}" name="Von" dataDxfId="224" totalsRowDxfId="215"/>
    <tableColumn id="2" xr3:uid="{00000000-0010-0000-0100-000002000000}" name="Bis" dataDxfId="223" totalsRowDxfId="214"/>
    <tableColumn id="3" xr3:uid="{00000000-0010-0000-0100-000003000000}" name="Anzahl Studierende " dataDxfId="222" totalsRowDxfId="213"/>
    <tableColumn id="6" xr3:uid="{00000000-0010-0000-0100-000006000000}" name="Abfahrtsort" dataDxfId="221" totalsRowDxfId="212"/>
    <tableColumn id="7" xr3:uid="{00000000-0010-0000-0100-000007000000}" name="Ziel" dataDxfId="220" totalsRowDxfId="211"/>
    <tableColumn id="4" xr3:uid="{D034C59C-5909-4865-BA16-416A2AA1E8C1}" name="Entfernung (km) einfach" dataDxfId="219" totalsRowDxfId="210"/>
    <tableColumn id="8" xr3:uid="{00000000-0010-0000-0100-000008000000}" name="Entfernung (km) gesamt" dataDxfId="218" totalsRowDxfId="209">
      <calculatedColumnFormula>Tabelle24[[#This Row],[Entfernung (km) einfach]]*2</calculatedColumnFormula>
    </tableColumn>
    <tableColumn id="9" xr3:uid="{00000000-0010-0000-0100-000009000000}" name="Verkehrsmittel" dataDxfId="217" totalsRowDxfId="208"/>
    <tableColumn id="10" xr3:uid="{00000000-0010-0000-0100-00000A000000}" name="Kommentare" dataDxfId="216" totalsRowDxfId="207"/>
    <tableColumn id="5" xr3:uid="{9509C154-F163-4657-85D5-CB519ADBD67D}" name="Km Bus" totalsRowFunction="custom" dataDxfId="271" totalsRowDxfId="206">
      <calculatedColumnFormula>IF(Tabelle24[[#This Row],[Verkehrsmittel]]="Bus",Tabelle24[[#This Row],[Entfernung (km) gesamt]],0)*Tabelle24[[#This Row],[Anzahl Studierende ]]</calculatedColumnFormula>
      <totalsRowFormula>SUM(Tabelle24[Km Bus])</totalsRowFormula>
    </tableColumn>
    <tableColumn id="11" xr3:uid="{542512D6-E1FB-42C8-8298-E8E61700227C}" name="Km Bahn" totalsRowFunction="custom" dataDxfId="270" totalsRowDxfId="205">
      <calculatedColumnFormula>IF(Tabelle24[[#This Row],[Verkehrsmittel]]="Bahn",Tabelle24[[#This Row],[Anzahl Studierende ]]*Tabelle24[[#This Row],[Entfernung (km) gesamt]],0)</calculatedColumnFormula>
      <totalsRowFormula>SUM(Tabelle24[Km Bahn])</totalsRowFormula>
    </tableColumn>
    <tableColumn id="12" xr3:uid="{B09B82BD-411F-4A22-91DA-764AF6BBB1D2}" name="Km PKW" totalsRowFunction="custom" dataDxfId="269" totalsRowDxfId="204">
      <calculatedColumnFormula>IF(Tabelle24[[#This Row],[Verkehrsmittel]]="PKW",Tabelle24[[#This Row],[Anzahl Studierende ]]*Tabelle24[[#This Row],[Entfernung (km) gesamt]],0)</calculatedColumnFormula>
      <totalsRowFormula>SUM(Tabelle24[Km PKW])</totalsRowFormula>
    </tableColumn>
    <tableColumn id="18" xr3:uid="{C7F9694C-6902-497D-944C-1E1D33363D0A}" name="Flug bis 500" totalsRowFunction="custom" dataDxfId="268" totalsRowDxfId="203">
      <calculatedColumnFormula>IF(Tabelle24[[#This Row],[Verkehrsmittel]]="Flug", IF(AND(Tabelle24[[#This Row],[Entfernung (km) einfach]]&lt;500),Tabelle24[[#This Row],[Entfernung (km) gesamt]]), 0)*Tabelle24[[#This Row],[Anzahl Studierende ]]</calculatedColumnFormula>
      <totalsRowFormula>SUM(Tabelle24[Flug bis 500])</totalsRowFormula>
    </tableColumn>
    <tableColumn id="13" xr3:uid="{FC6857BD-8813-40F6-B12E-1913790ED33D}" name="Flug 500 - 1000 km" totalsRowFunction="custom" dataDxfId="267" totalsRowDxfId="202">
      <calculatedColumnFormula>IF(Tabelle24[[#This Row],[Verkehrsmittel]]="Flug", IF(AND(Tabelle24[[#This Row],[Entfernung (km) einfach]]&gt;500,Tabelle24[[#This Row],[Entfernung (km) einfach]]&lt;1000),Tabelle24[[#This Row],[Entfernung (km) gesamt]], 0), 0)*Tabelle24[[#This Row],[Anzahl Studierende ]]</calculatedColumnFormula>
      <totalsRowFormula>SUM(Tabelle24[Flug 500 - 1000 km])</totalsRowFormula>
    </tableColumn>
    <tableColumn id="14" xr3:uid="{35ACED67-2BD3-4DAD-9E9A-4FAA602CE6C3}" name="Flug 1000 - 2000" totalsRowFunction="custom" dataDxfId="266" totalsRowDxfId="201">
      <calculatedColumnFormula>IF(Tabelle24[[#This Row],[Verkehrsmittel]]="Flug", IF(AND(Tabelle24[[#This Row],[Entfernung (km) einfach]]&gt;1000,Tabelle24[[#This Row],[Entfernung (km) einfach]]&lt;2000),Tabelle24[[#This Row],[Entfernung (km) gesamt]], 0), 0)*Tabelle24[[#This Row],[Anzahl Studierende ]]</calculatedColumnFormula>
      <totalsRowFormula>SUM(Tabelle24[Flug 1000 - 2000])</totalsRowFormula>
    </tableColumn>
    <tableColumn id="15" xr3:uid="{047D0AB1-ED3C-40E1-8574-70895601778B}" name="Flug 2000 - 5000" totalsRowFunction="custom" dataDxfId="265" totalsRowDxfId="200">
      <calculatedColumnFormula>IF(Tabelle24[[#This Row],[Verkehrsmittel]]="Flug", IF(AND(Tabelle24[[#This Row],[Entfernung (km) einfach]]&gt;2000,Tabelle24[[#This Row],[Entfernung (km) einfach]]&lt;5000),Tabelle24[[#This Row],[Entfernung (km) gesamt]], 0), 0)*Tabelle24[[#This Row],[Anzahl Studierende ]]</calculatedColumnFormula>
      <totalsRowFormula>SUM(Tabelle24[Flug 2000 - 5000])</totalsRowFormula>
    </tableColumn>
    <tableColumn id="16" xr3:uid="{9758C951-0D84-46F8-B054-E8A54AA53371}" name="Flug 5000 - 10000" totalsRowFunction="custom" dataDxfId="264" totalsRowDxfId="199">
      <calculatedColumnFormula>IF(Tabelle24[[#This Row],[Verkehrsmittel]]="Flug", IF(AND(Tabelle24[[#This Row],[Entfernung (km) einfach]]&gt;5000,Tabelle24[[#This Row],[Entfernung (km) einfach]]&lt;10000),Tabelle24[[#This Row],[Entfernung (km) gesamt]], 0), 0)*Tabelle24[[#This Row],[Anzahl Studierende ]]</calculatedColumnFormula>
      <totalsRowFormula>SUM(Tabelle24[Flug 5000 - 10000])</totalsRowFormula>
    </tableColumn>
    <tableColumn id="17" xr3:uid="{95A756A2-DA14-4224-9935-789D25D92F1E}" name="Flug über 10000" totalsRowFunction="custom" dataDxfId="263" totalsRowDxfId="198">
      <calculatedColumnFormula>IF(Tabelle24[[#This Row],[Verkehrsmittel]]="Flug", IF(AND(Tabelle24[[#This Row],[Entfernung (km) einfach]]&gt;10000),Tabelle24[[#This Row],[Entfernung (km) gesamt]]), 0)*Tabelle24[[#This Row],[Anzahl Studierende ]]</calculatedColumnFormula>
      <totalsRowFormula>SUM(Tabelle24[Flug über 10000])</totalsRowFormula>
    </tableColumn>
    <tableColumn id="19" xr3:uid="{DA47BAEB-657A-4C9A-842B-AE2C0FCB1749}" name="Motorrad" totalsRowFunction="custom" dataDxfId="262" totalsRowDxfId="197">
      <calculatedColumnFormula>IF(Tabelle24[[#This Row],[Verkehrsmittel]]="Motorrad",Tabelle24[[#This Row],[Entfernung (km) gesamt]],0)*Tabelle24[[#This Row],[Anzahl Studierende ]]</calculatedColumnFormula>
      <totalsRowFormula>SUM(Tabelle24[Motorrad])</totalsRowFormula>
    </tableColumn>
    <tableColumn id="20" xr3:uid="{9D86E7E3-86A6-40B3-A6B0-63AB758512A3}" name="Straßen-, S-, U-Bahn" totalsRowFunction="custom" dataDxfId="261" totalsRowDxfId="196">
      <calculatedColumnFormula>IF(Tabelle24[[#This Row],[Verkehrsmittel]]="Straßen-, S-, U-Bahn",Tabelle24[[#This Row],[Entfernung (km) gesamt]],0)*Tabelle24[[#This Row],[Anzahl Studierende ]]</calculatedColumnFormula>
      <totalsRowFormula>SUM(Tabelle24[Straßen-, S-, U-Bahn])</totalsRowFormula>
    </tableColumn>
    <tableColumn id="21" xr3:uid="{F215DF75-631B-4618-A1EA-8C9113D050A2}" name="Fahrrad" totalsRowFunction="custom" dataDxfId="260" totalsRowDxfId="195">
      <calculatedColumnFormula>IF(Tabelle24[[#This Row],[Verkehrsmittel]]="Fahrrad",Tabelle24[[#This Row],[Entfernung (km) gesamt]],0)*Tabelle24[[#This Row],[Anzahl Studierende ]]</calculatedColumnFormula>
      <totalsRowFormula>SUM(Tabelle24[Fahrrad])</totalsRow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e25" displayName="Tabelle25" ref="B7:V40" totalsRowCount="1" tableBorderDxfId="295">
  <autoFilter ref="B7:V39" xr:uid="{00000000-0009-0000-0100-000004000000}"/>
  <tableColumns count="21">
    <tableColumn id="1" xr3:uid="{00000000-0010-0000-0200-000001000000}" name="Von" dataDxfId="173" totalsRowDxfId="172"/>
    <tableColumn id="2" xr3:uid="{00000000-0010-0000-0200-000002000000}" name="Bis" dataDxfId="171" totalsRowDxfId="170"/>
    <tableColumn id="3" xr3:uid="{00000000-0010-0000-0200-000003000000}" name="Anzahl Studierende " dataDxfId="169" totalsRowDxfId="168"/>
    <tableColumn id="6" xr3:uid="{00000000-0010-0000-0200-000006000000}" name="Abfahrt " dataDxfId="167" totalsRowDxfId="166"/>
    <tableColumn id="7" xr3:uid="{00000000-0010-0000-0200-000007000000}" name="Ziel" dataDxfId="165" totalsRowDxfId="164"/>
    <tableColumn id="4" xr3:uid="{98A4709F-E34B-4C02-9DFA-E975D4AEF0A6}" name="Entfernung (km) einfach" dataDxfId="163" totalsRowDxfId="162"/>
    <tableColumn id="8" xr3:uid="{00000000-0010-0000-0200-000008000000}" name="Entfernung (km) gesamt" dataDxfId="161" totalsRowDxfId="160">
      <calculatedColumnFormula>Tabelle25[[#This Row],[Entfernung (km) einfach]]*2</calculatedColumnFormula>
    </tableColumn>
    <tableColumn id="9" xr3:uid="{00000000-0010-0000-0200-000009000000}" name="Verkehrsmittel" dataDxfId="159" totalsRowDxfId="158"/>
    <tableColumn id="10" xr3:uid="{00000000-0010-0000-0200-00000A000000}" name="Kommentare" dataDxfId="157" totalsRowDxfId="156"/>
    <tableColumn id="5" xr3:uid="{7B01599F-9CD7-4521-B229-7F3556524211}" name="Km Bus" totalsRowFunction="custom" dataDxfId="294" totalsRowDxfId="293" dataCellStyle="Komma">
      <calculatedColumnFormula>IF(Tabelle25[[#This Row],[Verkehrsmittel]]="Bus",Tabelle25[[#This Row],[Entfernung (km) gesamt]],0)*Tabelle25[[#This Row],[Anzahl Studierende ]]</calculatedColumnFormula>
      <totalsRowFormula>SUM(Tabelle25[Km Bus])</totalsRowFormula>
    </tableColumn>
    <tableColumn id="11" xr3:uid="{E49408EA-DCF2-4FF7-A064-BD31AFEA0E1B}" name="Km Bahn" totalsRowFunction="custom" totalsRowDxfId="292" dataCellStyle="Komma">
      <calculatedColumnFormula>IF(Tabelle25[[#This Row],[Verkehrsmittel]]="Bahn",Tabelle25[[#This Row],[Anzahl Studierende ]]*Tabelle25[[#This Row],[Entfernung (km) gesamt]],0)</calculatedColumnFormula>
      <totalsRowFormula>SUM(Tabelle25[Km Bahn])</totalsRowFormula>
    </tableColumn>
    <tableColumn id="12" xr3:uid="{8FCE879F-D842-4076-8FCF-D68AF3C26E9F}" name="Km PKW" totalsRowFunction="custom" totalsRowDxfId="291" dataCellStyle="Komma">
      <calculatedColumnFormula>IF(Tabelle25[[#This Row],[Verkehrsmittel]]="PKW",Tabelle25[[#This Row],[Anzahl Studierende ]]*Tabelle25[[#This Row],[Entfernung (km) gesamt]],0)</calculatedColumnFormula>
      <totalsRowFormula>SUM(Tabelle25[Km PKW])</totalsRowFormula>
    </tableColumn>
    <tableColumn id="15" xr3:uid="{CD19775E-C96E-4D3B-81CC-117BC43C9215}" name="Flug bis 500" totalsRowFunction="custom" dataDxfId="290" totalsRowDxfId="289" dataCellStyle="Komma">
      <calculatedColumnFormula>IF(Tabelle25[[#This Row],[Verkehrsmittel]]="Flug", IF(AND(Tabelle25[[#This Row],[Entfernung (km) einfach]]&lt;500),Tabelle25[[#This Row],[Entfernung (km) gesamt]]), 0)*Tabelle25[[#This Row],[Anzahl Studierende ]]</calculatedColumnFormula>
      <totalsRowFormula>SUM(Tabelle25[Flug bis 500])</totalsRowFormula>
    </tableColumn>
    <tableColumn id="13" xr3:uid="{540BDAA6-0AC4-4249-A541-4BDB6AC6AD7F}" name="Flug 500 - 1000 km" totalsRowFunction="custom" dataDxfId="288" totalsRowDxfId="287" dataCellStyle="Komma">
      <calculatedColumnFormula>IF(Tabelle25[[#This Row],[Verkehrsmittel]]="Flug", IF(AND(Tabelle25[[#This Row],[Entfernung (km) einfach]]&gt;500,Tabelle25[[#This Row],[Entfernung (km) einfach]]&lt;1000),Tabelle25[[#This Row],[Entfernung (km) gesamt]], 0), 0)*Tabelle25[[#This Row],[Anzahl Studierende ]]</calculatedColumnFormula>
      <totalsRowFormula>SUM(Tabelle25[Flug 500 - 1000 km])</totalsRowFormula>
    </tableColumn>
    <tableColumn id="16" xr3:uid="{6E3A78FD-A80B-4453-A522-3751B853121A}" name="Flug 1000 - 2000" totalsRowFunction="custom" dataDxfId="286" totalsRowDxfId="285" dataCellStyle="Komma">
      <calculatedColumnFormula>IF(Tabelle25[[#This Row],[Verkehrsmittel]]="Flug", IF(AND(Tabelle25[[#This Row],[Entfernung (km) einfach]]&gt;1000,Tabelle25[[#This Row],[Entfernung (km) einfach]]&lt;2000),Tabelle25[[#This Row],[Entfernung (km) gesamt]], 0), 0)*Tabelle25[[#This Row],[Anzahl Studierende ]]</calculatedColumnFormula>
      <totalsRowFormula>SUM(Tabelle25[Flug 1000 - 2000])</totalsRowFormula>
    </tableColumn>
    <tableColumn id="14" xr3:uid="{FC3A303B-244F-4A16-853C-BD4409E6DD47}" name="Flug 2000 - 5000" totalsRowFunction="custom" dataDxfId="284" totalsRowDxfId="283" dataCellStyle="Komma">
      <calculatedColumnFormula>IF(Tabelle25[[#This Row],[Verkehrsmittel]]="Flug", IF(AND(Tabelle25[[#This Row],[Entfernung (km) einfach]]&gt;2000,Tabelle25[[#This Row],[Entfernung (km) einfach]]&lt;5000),Tabelle25[[#This Row],[Entfernung (km) gesamt]], 0), 0)*Tabelle25[[#This Row],[Anzahl Studierende ]]</calculatedColumnFormula>
      <totalsRowFormula>SUM(Tabelle25[Flug 2000 - 5000])</totalsRowFormula>
    </tableColumn>
    <tableColumn id="17" xr3:uid="{EADAB91A-4637-47F6-80D5-2A87C1E6B07F}" name="Flug 5000 - 10000" totalsRowFunction="custom" dataDxfId="282" totalsRowDxfId="281" dataCellStyle="Komma">
      <calculatedColumnFormula>IF(Tabelle25[[#This Row],[Verkehrsmittel]]="Flug", IF(AND(Tabelle25[[#This Row],[Entfernung (km) einfach]]&gt;5000,Tabelle25[[#This Row],[Entfernung (km) einfach]]&lt;10000),Tabelle25[[#This Row],[Entfernung (km) gesamt]], 0), 0)*Tabelle25[[#This Row],[Anzahl Studierende ]]</calculatedColumnFormula>
      <totalsRowFormula>SUM(Tabelle25[Flug 5000 - 10000])</totalsRowFormula>
    </tableColumn>
    <tableColumn id="18" xr3:uid="{BBC8DDCC-B97E-4C38-AEFA-B87118A3E697}" name="Flug über 10000" totalsRowFunction="custom" dataDxfId="280" totalsRowDxfId="279" dataCellStyle="Komma">
      <calculatedColumnFormula>IF(Tabelle25[[#This Row],[Verkehrsmittel]]="Flug", IF(AND(Tabelle25[[#This Row],[Entfernung (km) einfach]]&gt;10000),Tabelle25[[#This Row],[Entfernung (km) gesamt]]), 0)*Tabelle25[[#This Row],[Anzahl Studierende ]]</calculatedColumnFormula>
      <totalsRowFormula>SUM(Tabelle25[Flug über 10000])</totalsRowFormula>
    </tableColumn>
    <tableColumn id="19" xr3:uid="{497F9443-BE2E-4A18-9E06-C97F34C18582}" name="Motorrad" totalsRowFunction="custom" dataDxfId="278" totalsRowDxfId="277" dataCellStyle="Komma">
      <calculatedColumnFormula>IF(Tabelle25[[#This Row],[Verkehrsmittel]]="Motorrad",Tabelle25[[#This Row],[Entfernung (km) gesamt]],0)*Tabelle25[[#This Row],[Anzahl Studierende ]]</calculatedColumnFormula>
      <totalsRowFormula>SUM(Tabelle25[Motorrad])</totalsRowFormula>
    </tableColumn>
    <tableColumn id="20" xr3:uid="{8ED2E340-C281-4AA9-874B-A5ED9A2D0ED4}" name="Straßen-, S-, U-Bahn" totalsRowFunction="custom" dataDxfId="276" totalsRowDxfId="275" dataCellStyle="Komma">
      <calculatedColumnFormula>IF(Tabelle25[[#This Row],[Verkehrsmittel]]="Straßen-, S-, U-Bahn",Tabelle25[[#This Row],[Entfernung (km) gesamt]],0)*Tabelle25[[#This Row],[Anzahl Studierende ]]</calculatedColumnFormula>
      <totalsRowFormula>SUM(Tabelle25[Straßen-, S-, U-Bahn])</totalsRowFormula>
    </tableColumn>
    <tableColumn id="21" xr3:uid="{B1FF1FE9-F11F-4F96-A6A3-98DFF4CA77E8}" name="Fahrrad" totalsRowFunction="custom" dataDxfId="274" totalsRowDxfId="273" dataCellStyle="Komma">
      <calculatedColumnFormula>IF(Tabelle25[[#This Row],[Verkehrsmittel]]="Fahrrad",Tabelle25[[#This Row],[Entfernung (km) gesamt]],0)*Tabelle25[[#This Row],[Anzahl Studierende ]]</calculatedColumnFormula>
      <totalsRowFormula>SUM(Tabelle25[Fahrrad])</totalsRowFormula>
    </tableColumn>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e26" displayName="Tabelle26" ref="B7:V40" totalsRowCount="1">
  <autoFilter ref="B7:V39" xr:uid="{00000000-0009-0000-0100-000005000000}"/>
  <sortState xmlns:xlrd2="http://schemas.microsoft.com/office/spreadsheetml/2017/richdata2" ref="B8:J39">
    <sortCondition ref="B7:B39"/>
  </sortState>
  <tableColumns count="21">
    <tableColumn id="1" xr3:uid="{00000000-0010-0000-0300-000001000000}" name="Von" dataDxfId="155" totalsRowDxfId="146"/>
    <tableColumn id="2" xr3:uid="{00000000-0010-0000-0300-000002000000}" name="Bis" dataDxfId="154" totalsRowDxfId="145"/>
    <tableColumn id="3" xr3:uid="{00000000-0010-0000-0300-000003000000}" name="Anzahl Studierende " dataDxfId="153" totalsRowDxfId="144"/>
    <tableColumn id="6" xr3:uid="{00000000-0010-0000-0300-000006000000}" name="Abfahrt " dataDxfId="152" totalsRowDxfId="143"/>
    <tableColumn id="7" xr3:uid="{00000000-0010-0000-0300-000007000000}" name="Ziel" dataDxfId="151" totalsRowDxfId="142"/>
    <tableColumn id="8" xr3:uid="{00000000-0010-0000-0300-000008000000}" name="Entfernung (km) einfach" dataDxfId="150" totalsRowDxfId="141"/>
    <tableColumn id="18" xr3:uid="{20167A0C-ED82-4B21-A3D0-34F5CDC1BACF}" name="Entfernung (km) gesamt" dataDxfId="149" totalsRowDxfId="140">
      <calculatedColumnFormula>Tabelle26[[#This Row],[Entfernung (km) einfach]]*2</calculatedColumnFormula>
    </tableColumn>
    <tableColumn id="9" xr3:uid="{00000000-0010-0000-0300-000009000000}" name="Verkehrsmittel" dataDxfId="148" totalsRowDxfId="139"/>
    <tableColumn id="10" xr3:uid="{00000000-0010-0000-0300-00000A000000}" name="Kommentare" dataDxfId="147" totalsRowDxfId="138"/>
    <tableColumn id="4" xr3:uid="{818602BB-FF04-4CC0-A534-992AB1E3FFE8}" name="Km Bus" totalsRowFunction="custom" dataDxfId="247" totalsRowDxfId="137">
      <calculatedColumnFormula>IF(Tabelle26[[#This Row],[Verkehrsmittel]]="Bus",Tabelle26[[#This Row],[Entfernung (km) gesamt]],0)*Tabelle26[[#This Row],[Anzahl Studierende ]]</calculatedColumnFormula>
      <totalsRowFormula>SUM(Tabelle26[Km Bus])</totalsRowFormula>
    </tableColumn>
    <tableColumn id="5" xr3:uid="{3F5E7DDB-52E2-40E8-BFF9-32B4FA21A5FB}" name="Km Bahn" totalsRowFunction="custom" dataDxfId="440" totalsRowDxfId="136">
      <calculatedColumnFormula>IF(Tabelle26[[#This Row],[Verkehrsmittel]]="Bahn",Tabelle26[[#This Row],[Anzahl Studierende ]]*Tabelle26[[#This Row],[Entfernung (km) gesamt]],0)</calculatedColumnFormula>
      <totalsRowFormula>SUM(Tabelle26[Km Bahn])</totalsRowFormula>
    </tableColumn>
    <tableColumn id="11" xr3:uid="{AB5349FB-66E0-47C3-9F8B-C55575008C02}" name="Km PKW" totalsRowFunction="custom" dataDxfId="439" totalsRowDxfId="135">
      <calculatedColumnFormula>IF(Tabelle26[[#This Row],[Verkehrsmittel]]="PKW",Tabelle26[[#This Row],[Anzahl Studierende ]]*Tabelle26[[#This Row],[Entfernung (km) gesamt]],0)</calculatedColumnFormula>
      <totalsRowFormula>SUM(Tabelle26[Km PKW])</totalsRowFormula>
    </tableColumn>
    <tableColumn id="12" xr3:uid="{47F2296C-6389-4FFE-BCF0-5D2F305388C3}" name="Flug bis 500" totalsRowFunction="custom" dataDxfId="438" totalsRowDxfId="134">
      <calculatedColumnFormula>IF(Tabelle26[[#This Row],[Verkehrsmittel]]="Flug", IF(AND(Tabelle26[[#This Row],[Entfernung (km) einfach]]&lt;500),Tabelle26[[#This Row],[Entfernung (km) gesamt]]), 0)*Tabelle26[[#This Row],[Anzahl Studierende ]]</calculatedColumnFormula>
      <totalsRowFormula>SUM(Tabelle26[Flug bis 500])</totalsRowFormula>
    </tableColumn>
    <tableColumn id="13" xr3:uid="{4CD26AF3-3886-4C62-BA48-3E7EB0C2CD86}" name="Flug 500 - 1000 km" totalsRowFunction="custom" dataDxfId="437" totalsRowDxfId="133">
      <calculatedColumnFormula>IF(Tabelle26[[#This Row],[Verkehrsmittel]]="Flug", IF(AND(Tabelle26[[#This Row],[Entfernung (km) einfach]]&gt;500,Tabelle26[[#This Row],[Entfernung (km) einfach]]&lt;1000),Tabelle26[[#This Row],[Entfernung (km) gesamt]], 0), 0)*Tabelle26[[#This Row],[Anzahl Studierende ]]</calculatedColumnFormula>
      <totalsRowFormula>SUM(Tabelle26[Flug 500 - 1000 km])</totalsRowFormula>
    </tableColumn>
    <tableColumn id="14" xr3:uid="{3EC5B670-B16E-4827-B331-E579DD15ABFA}" name="Flug 1000 - 2000" totalsRowFunction="custom" dataDxfId="436" totalsRowDxfId="132">
      <calculatedColumnFormula>IF(Tabelle26[[#This Row],[Verkehrsmittel]]="Flug", IF(AND(Tabelle26[[#This Row],[Entfernung (km) einfach]]&gt;1000,Tabelle26[[#This Row],[Entfernung (km) einfach]]&lt;2000),Tabelle26[[#This Row],[Entfernung (km) gesamt]], 0), 0)*Tabelle26[[#This Row],[Anzahl Studierende ]]</calculatedColumnFormula>
      <totalsRowFormula>SUM(Tabelle26[Flug 1000 - 2000])</totalsRowFormula>
    </tableColumn>
    <tableColumn id="15" xr3:uid="{A7F6FBFE-8395-44E0-AD0D-28F95FE4BF5E}" name="Flug 2000 - 5000" totalsRowFunction="custom" dataDxfId="435" totalsRowDxfId="131">
      <calculatedColumnFormula>IF(Tabelle26[[#This Row],[Verkehrsmittel]]="Flug", IF(AND(Tabelle26[[#This Row],[Entfernung (km) einfach]]&gt;2000,Tabelle26[[#This Row],[Entfernung (km) einfach]]&lt;5000),Tabelle26[[#This Row],[Entfernung (km) gesamt]], 0), 0)*Tabelle26[[#This Row],[Anzahl Studierende ]]</calculatedColumnFormula>
      <totalsRowFormula>SUM(Tabelle26[Flug 2000 - 5000])</totalsRowFormula>
    </tableColumn>
    <tableColumn id="16" xr3:uid="{DEAC5AC9-BA3A-48C3-A95D-33EFAC1A2D38}" name="Flug 5000 - 10000" totalsRowFunction="custom" dataDxfId="434" totalsRowDxfId="130">
      <calculatedColumnFormula>IF(Tabelle26[[#This Row],[Verkehrsmittel]]="Flug", IF(AND(Tabelle26[[#This Row],[Entfernung (km) einfach]]&gt;5000,Tabelle26[[#This Row],[Entfernung (km) einfach]]&lt;10000),Tabelle26[[#This Row],[Entfernung (km) gesamt]], 0), 0)*Tabelle26[[#This Row],[Anzahl Studierende ]]</calculatedColumnFormula>
      <totalsRowFormula>SUM(Tabelle26[Flug 5000 - 10000])</totalsRowFormula>
    </tableColumn>
    <tableColumn id="17" xr3:uid="{7B498327-CF23-4190-BB5C-5705DFE6B9A2}" name="Flug über 10000" totalsRowFunction="custom" dataDxfId="433" totalsRowDxfId="129">
      <calculatedColumnFormula>IF(Tabelle26[[#This Row],[Verkehrsmittel]]="Flug", IF(AND(Tabelle26[[#This Row],[Entfernung (km) einfach]]&gt;10000),Tabelle26[[#This Row],[Entfernung (km) gesamt]]), 0)*Tabelle26[[#This Row],[Anzahl Studierende ]]</calculatedColumnFormula>
      <totalsRowFormula>SUM(Tabelle26[Flug über 10000])</totalsRowFormula>
    </tableColumn>
    <tableColumn id="19" xr3:uid="{F8ADCB11-8F4E-4EAD-8D5C-4DD250D065EB}" name="Motorrad" totalsRowFunction="custom" dataDxfId="432" totalsRowDxfId="128">
      <calculatedColumnFormula>IF(Tabelle26[[#This Row],[Verkehrsmittel]]="Motorrad",Tabelle26[[#This Row],[Entfernung (km) gesamt]],0)*Tabelle26[[#This Row],[Anzahl Studierende ]]</calculatedColumnFormula>
      <totalsRowFormula>SUM(Tabelle26[Motorrad])</totalsRowFormula>
    </tableColumn>
    <tableColumn id="20" xr3:uid="{1C25C221-6199-460E-BA5B-258895FDF90E}" name="Straßen-, S-, U-Bahn" totalsRowFunction="custom" dataDxfId="431" totalsRowDxfId="127">
      <calculatedColumnFormula>IF(Tabelle26[[#This Row],[Verkehrsmittel]]="Straßen-, S-, U-Bahn",Tabelle26[[#This Row],[Entfernung (km) gesamt]],0)*Tabelle26[[#This Row],[Anzahl Studierende ]]</calculatedColumnFormula>
      <totalsRowFormula>SUM(Tabelle26[Straßen-, S-, U-Bahn])</totalsRowFormula>
    </tableColumn>
    <tableColumn id="21" xr3:uid="{798C4F2A-67B6-4D2E-A9C7-CBFD63F64660}" name="Fahrrad" totalsRowFunction="custom" dataDxfId="430" totalsRowDxfId="126">
      <calculatedColumnFormula>IF(Tabelle26[[#This Row],[Verkehrsmittel]]="Fahrrad",Tabelle26[[#This Row],[Entfernung (km) gesamt]],0)*Tabelle26[[#This Row],[Anzahl Studierende ]]</calculatedColumnFormula>
      <totalsRowFormula>SUM(Tabelle26[Fahrrad])</totalsRow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e27" displayName="Tabelle27" ref="B7:V40" totalsRowCount="1">
  <autoFilter ref="B7:V39" xr:uid="{00000000-0009-0000-0100-000006000000}"/>
  <tableColumns count="21">
    <tableColumn id="1" xr3:uid="{00000000-0010-0000-0400-000001000000}" name="Von" dataDxfId="125" totalsRowDxfId="124"/>
    <tableColumn id="2" xr3:uid="{00000000-0010-0000-0400-000002000000}" name="Bis" dataDxfId="123" totalsRowDxfId="122"/>
    <tableColumn id="3" xr3:uid="{00000000-0010-0000-0400-000003000000}" name="Anzahl Studierende " dataDxfId="121" totalsRowDxfId="120"/>
    <tableColumn id="6" xr3:uid="{00000000-0010-0000-0400-000006000000}" name="Abfahrt " dataDxfId="119" totalsRowDxfId="118"/>
    <tableColumn id="7" xr3:uid="{00000000-0010-0000-0400-000007000000}" name="Ziel" dataDxfId="117" totalsRowDxfId="116"/>
    <tableColumn id="8" xr3:uid="{00000000-0010-0000-0400-000008000000}" name="Entfernung (km) einfach" dataDxfId="115" totalsRowDxfId="114"/>
    <tableColumn id="17" xr3:uid="{DAF3E1F2-EFA9-45AD-B99A-C0DA9D546329}" name="Entfernung (km) gesamt" dataDxfId="113" totalsRowDxfId="112">
      <calculatedColumnFormula>Tabelle27[[#This Row],[Entfernung (km) einfach]]*2</calculatedColumnFormula>
    </tableColumn>
    <tableColumn id="9" xr3:uid="{00000000-0010-0000-0400-000009000000}" name="Verkehrsmittel" dataDxfId="111" totalsRowDxfId="110"/>
    <tableColumn id="10" xr3:uid="{00000000-0010-0000-0400-00000A000000}" name="Kommentare" dataDxfId="109" totalsRowDxfId="108"/>
    <tableColumn id="4" xr3:uid="{615A35F6-05DB-4024-81C5-BDE7C6AAA028}" name="Km Bus" totalsRowFunction="custom" dataDxfId="429" totalsRowDxfId="259">
      <calculatedColumnFormula>IF(Tabelle27[[#This Row],[Verkehrsmittel]]="Bus",Tabelle27[[#This Row],[Entfernung (km) gesamt]],0)*Tabelle27[[#This Row],[Anzahl Studierende ]]</calculatedColumnFormula>
      <totalsRowFormula>SUM(Tabelle27[Km Bus])</totalsRowFormula>
    </tableColumn>
    <tableColumn id="5" xr3:uid="{42A62F7F-7C7C-4757-9C52-5676EAE30EB0}" name="Km Bahn" totalsRowFunction="custom" dataDxfId="428" totalsRowDxfId="258">
      <calculatedColumnFormula>IF(Tabelle27[[#This Row],[Verkehrsmittel]]="Bahn",Tabelle27[[#This Row],[Anzahl Studierende ]]*Tabelle27[[#This Row],[Entfernung (km) gesamt]],0)</calculatedColumnFormula>
      <totalsRowFormula>SUM(Tabelle27[Km Bahn])</totalsRowFormula>
    </tableColumn>
    <tableColumn id="11" xr3:uid="{A7A82EB6-34D8-4A18-8E2A-F1BA343C8F8C}" name="Km PKW" totalsRowFunction="custom" dataDxfId="427" totalsRowDxfId="257">
      <calculatedColumnFormula>IF(Tabelle27[[#This Row],[Verkehrsmittel]]="PKW",Tabelle27[[#This Row],[Anzahl Studierende ]]*Tabelle27[[#This Row],[Entfernung (km) gesamt]],0)</calculatedColumnFormula>
      <totalsRowFormula>SUM(Tabelle27[Km PKW])</totalsRowFormula>
    </tableColumn>
    <tableColumn id="12" xr3:uid="{1A9C81E5-4BC4-4107-8AC6-889DC8B54686}" name="Flug bis 500" totalsRowFunction="custom" dataDxfId="426" totalsRowDxfId="256">
      <calculatedColumnFormula>IF(Tabelle27[[#This Row],[Verkehrsmittel]]="Flug", IF(AND(Tabelle27[[#This Row],[Entfernung (km) einfach]]&lt;500),Tabelle27[[#This Row],[Entfernung (km) gesamt]]), 0)*Tabelle27[[#This Row],[Anzahl Studierende ]]</calculatedColumnFormula>
      <totalsRowFormula>SUM(Tabelle27[Flug bis 500])</totalsRowFormula>
    </tableColumn>
    <tableColumn id="13" xr3:uid="{8BC4C284-2B04-4445-A4B6-DE118AC30E80}" name="Flug 500 - 1000 km" totalsRowFunction="custom" dataDxfId="425" totalsRowDxfId="255">
      <calculatedColumnFormula>IF(Tabelle27[[#This Row],[Verkehrsmittel]]="Flug", IF(AND(Tabelle27[[#This Row],[Entfernung (km) einfach]]&gt;500,Tabelle27[[#This Row],[Entfernung (km) einfach]]&lt;1000),Tabelle27[[#This Row],[Entfernung (km) gesamt]], 0), 0)*Tabelle27[[#This Row],[Anzahl Studierende ]]</calculatedColumnFormula>
      <totalsRowFormula>SUM(Tabelle27[Flug 500 - 1000 km])</totalsRowFormula>
    </tableColumn>
    <tableColumn id="14" xr3:uid="{84F3E627-CFC0-446F-BFD9-4098D4C590A4}" name="Flug 1000 - 2000" totalsRowFunction="custom" dataDxfId="424" totalsRowDxfId="254">
      <calculatedColumnFormula>IF(Tabelle27[[#This Row],[Verkehrsmittel]]="Flug", IF(AND(Tabelle27[[#This Row],[Entfernung (km) einfach]]&gt;1000,Tabelle27[[#This Row],[Entfernung (km) einfach]]&lt;2000),Tabelle27[[#This Row],[Entfernung (km) gesamt]], 0), 0)*Tabelle27[[#This Row],[Anzahl Studierende ]]</calculatedColumnFormula>
      <totalsRowFormula>SUM(Tabelle27[Flug 1000 - 2000])</totalsRowFormula>
    </tableColumn>
    <tableColumn id="15" xr3:uid="{46831D73-B889-4BA3-8D2D-FD77EA0AE97B}" name="Flug 2000 - 5000" totalsRowFunction="custom" dataDxfId="423" totalsRowDxfId="253">
      <calculatedColumnFormula>IF(Tabelle27[[#This Row],[Verkehrsmittel]]="Flug", IF(AND(Tabelle27[[#This Row],[Entfernung (km) einfach]]&gt;2000,Tabelle27[[#This Row],[Entfernung (km) einfach]]&lt;5000),Tabelle27[[#This Row],[Entfernung (km) gesamt]], 0), 0)*Tabelle27[[#This Row],[Anzahl Studierende ]]</calculatedColumnFormula>
      <totalsRowFormula>SUM(Tabelle27[Flug 2000 - 5000])</totalsRowFormula>
    </tableColumn>
    <tableColumn id="16" xr3:uid="{7B3639BA-4E32-41DE-88C8-7A89D6AF2A06}" name="Flug 5000 - 10000" totalsRowFunction="custom" dataDxfId="422" totalsRowDxfId="252">
      <calculatedColumnFormula>IF(Tabelle27[[#This Row],[Verkehrsmittel]]="Flug", IF(AND(Tabelle27[[#This Row],[Entfernung (km) einfach]]&gt;5000,Tabelle27[[#This Row],[Entfernung (km) einfach]]&lt;10000),Tabelle27[[#This Row],[Entfernung (km) gesamt]], 0), 0)*Tabelle27[[#This Row],[Anzahl Studierende ]]</calculatedColumnFormula>
      <totalsRowFormula>SUM(Tabelle27[Flug 5000 - 10000])</totalsRowFormula>
    </tableColumn>
    <tableColumn id="18" xr3:uid="{579144A1-B05E-493B-AC99-AF0426B54400}" name="Flug über 10000" totalsRowFunction="custom" dataDxfId="421" totalsRowDxfId="251">
      <calculatedColumnFormula>IF(Tabelle27[[#This Row],[Verkehrsmittel]]="Flug", IF(AND(Tabelle27[[#This Row],[Entfernung (km) einfach]]&gt;10000),Tabelle27[[#This Row],[Entfernung (km) gesamt]]), 0)*Tabelle27[[#This Row],[Anzahl Studierende ]]</calculatedColumnFormula>
      <totalsRowFormula>SUM(Tabelle27[Flug über 10000])</totalsRowFormula>
    </tableColumn>
    <tableColumn id="19" xr3:uid="{E92D13B1-7B39-4925-A8EB-C674D6D1D09F}" name="Motorrad" totalsRowFunction="custom" dataDxfId="420" totalsRowDxfId="250">
      <calculatedColumnFormula>IF(Tabelle27[[#This Row],[Verkehrsmittel]]="Motorrad",Tabelle27[[#This Row],[Entfernung (km) gesamt]],0)*Tabelle27[[#This Row],[Anzahl Studierende ]]</calculatedColumnFormula>
      <totalsRowFormula>SUM(Tabelle27[Motorrad])</totalsRowFormula>
    </tableColumn>
    <tableColumn id="20" xr3:uid="{3DA2A093-4CC5-4A98-8074-32BF627BF00F}" name="Straßen-, S-, U-Bahn" totalsRowFunction="custom" dataDxfId="419" totalsRowDxfId="249">
      <calculatedColumnFormula>IF(Tabelle27[[#This Row],[Verkehrsmittel]]="Straßen-, S-, U-Bahn",Tabelle27[[#This Row],[Entfernung (km) gesamt]],0)*Tabelle27[[#This Row],[Anzahl Studierende ]]</calculatedColumnFormula>
      <totalsRowFormula>SUM(Tabelle27[Straßen-, S-, U-Bahn])</totalsRowFormula>
    </tableColumn>
    <tableColumn id="21" xr3:uid="{2F3772B4-E9E7-4000-B4F4-7CAAA86BB4CA}" name="Fahrrad" totalsRowFunction="custom" dataDxfId="418" totalsRowDxfId="248">
      <calculatedColumnFormula>IF(Tabelle27[[#This Row],[Verkehrsmittel]]="Fahrrad",Tabelle27[[#This Row],[Entfernung (km) gesamt]],0)*Tabelle27[[#This Row],[Anzahl Studierende ]]</calculatedColumnFormula>
      <totalsRowFormula>SUM(Tabelle27[Fahrrad])</totalsRow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elle28" displayName="Tabelle28" ref="B7:V40" totalsRowCount="1" dataDxfId="417">
  <autoFilter ref="B7:V39" xr:uid="{00000000-0009-0000-0100-000007000000}"/>
  <tableColumns count="21">
    <tableColumn id="1" xr3:uid="{00000000-0010-0000-0500-000001000000}" name="Von" dataDxfId="107" totalsRowDxfId="106"/>
    <tableColumn id="2" xr3:uid="{00000000-0010-0000-0500-000002000000}" name="Bis" dataDxfId="105" totalsRowDxfId="104"/>
    <tableColumn id="3" xr3:uid="{00000000-0010-0000-0500-000003000000}" name="Anzahl Studierende " dataDxfId="103" totalsRowDxfId="102"/>
    <tableColumn id="6" xr3:uid="{00000000-0010-0000-0500-000006000000}" name="Abfahrt " dataDxfId="101" totalsRowDxfId="100"/>
    <tableColumn id="7" xr3:uid="{00000000-0010-0000-0500-000007000000}" name="Ziel" dataDxfId="99" totalsRowDxfId="98"/>
    <tableColumn id="8" xr3:uid="{00000000-0010-0000-0500-000008000000}" name="Entfernung (km) einfach" dataDxfId="97" totalsRowDxfId="96"/>
    <tableColumn id="4" xr3:uid="{06235576-ECAB-4B42-8ACC-2A6283677CD9}" name="Entfernung (km) gesamt" dataDxfId="95" totalsRowDxfId="94">
      <calculatedColumnFormula>Tabelle28[[#This Row],[Entfernung (km) einfach]]*2</calculatedColumnFormula>
    </tableColumn>
    <tableColumn id="9" xr3:uid="{00000000-0010-0000-0500-000009000000}" name="Verkehrsmittel" dataDxfId="93" totalsRowDxfId="92"/>
    <tableColumn id="10" xr3:uid="{00000000-0010-0000-0500-00000A000000}" name="Kommentare" dataDxfId="91" totalsRowDxfId="90"/>
    <tableColumn id="5" xr3:uid="{03EACE05-200A-46BB-ABF9-31A1CC7700C6}" name="Km Bus" totalsRowFunction="custom" dataDxfId="416" totalsRowDxfId="415">
      <calculatedColumnFormula>IF(Tabelle28[[#This Row],[Verkehrsmittel]]="Bus",Tabelle28[[#This Row],[Entfernung (km) gesamt]],0)*Tabelle28[[#This Row],[Anzahl Studierende ]]</calculatedColumnFormula>
      <totalsRowFormula>SUM(Tabelle28[Km Bus])</totalsRowFormula>
    </tableColumn>
    <tableColumn id="11" xr3:uid="{7FAA289C-5568-4966-81B3-9266664F4FDC}" name="Km Bahn" totalsRowFunction="custom" dataDxfId="414" totalsRowDxfId="413">
      <calculatedColumnFormula>IF(Tabelle28[[#This Row],[Verkehrsmittel]]="Bahn",Tabelle28[[#This Row],[Anzahl Studierende ]]*Tabelle28[[#This Row],[Entfernung (km) gesamt]],0)</calculatedColumnFormula>
      <totalsRowFormula>SUM(Tabelle28[Km Bahn])</totalsRowFormula>
    </tableColumn>
    <tableColumn id="12" xr3:uid="{CB861B36-6068-4C50-AFA6-0F9F372D3253}" name="Km PKW" totalsRowFunction="custom" dataDxfId="412" totalsRowDxfId="411">
      <calculatedColumnFormula>IF(Tabelle28[[#This Row],[Verkehrsmittel]]="PKW",Tabelle28[[#This Row],[Anzahl Studierende ]]*Tabelle28[[#This Row],[Entfernung (km) gesamt]],0)</calculatedColumnFormula>
      <totalsRowFormula>SUM(Tabelle28[Km PKW])</totalsRowFormula>
    </tableColumn>
    <tableColumn id="13" xr3:uid="{5E0C9514-CC82-4907-ACB7-317D2EF760E0}" name="Flug bis 500" totalsRowFunction="custom" dataDxfId="410" totalsRowDxfId="409">
      <calculatedColumnFormula>IF(Tabelle28[[#This Row],[Verkehrsmittel]]="Flug", IF(AND(Tabelle28[[#This Row],[Entfernung (km) einfach]]&lt;500),Tabelle28[[#This Row],[Entfernung (km) gesamt]]), 0)*Tabelle28[[#This Row],[Anzahl Studierende ]]</calculatedColumnFormula>
      <totalsRowFormula>SUM(Tabelle28[Flug bis 500])</totalsRowFormula>
    </tableColumn>
    <tableColumn id="14" xr3:uid="{12D646D9-8D5F-412A-9878-471FC0463CDF}" name="Flug 500 - 1000 km" totalsRowFunction="custom" dataDxfId="408" totalsRowDxfId="407">
      <calculatedColumnFormula>IF(Tabelle28[[#This Row],[Verkehrsmittel]]="Flug", IF(AND(Tabelle28[[#This Row],[Entfernung (km) einfach]]&gt;500,Tabelle28[[#This Row],[Entfernung (km) einfach]]&lt;1000),Tabelle28[[#This Row],[Entfernung (km) gesamt]], 0), 0)*Tabelle28[[#This Row],[Anzahl Studierende ]]</calculatedColumnFormula>
      <totalsRowFormula>SUM(Tabelle28[Flug 500 - 1000 km])</totalsRowFormula>
    </tableColumn>
    <tableColumn id="15" xr3:uid="{B847C608-F8C6-4D0C-9D38-77F933DB14FF}" name="Flug 1000 - 2000" totalsRowFunction="custom" dataDxfId="406" totalsRowDxfId="405">
      <calculatedColumnFormula>IF(Tabelle28[[#This Row],[Verkehrsmittel]]="Flug", IF(AND(Tabelle28[[#This Row],[Entfernung (km) einfach]]&gt;1000,Tabelle28[[#This Row],[Entfernung (km) einfach]]&lt;2000),Tabelle28[[#This Row],[Entfernung (km) gesamt]], 0), 0)*Tabelle28[[#This Row],[Anzahl Studierende ]]</calculatedColumnFormula>
      <totalsRowFormula>SUM(Tabelle28[Flug 1000 - 2000])</totalsRowFormula>
    </tableColumn>
    <tableColumn id="16" xr3:uid="{254D0DC3-9BE6-4F9A-8E99-34A95BFA3D8C}" name="Flug 2000 - 5000" totalsRowFunction="custom" dataDxfId="404" totalsRowDxfId="403">
      <calculatedColumnFormula>IF(Tabelle28[[#This Row],[Verkehrsmittel]]="Flug", IF(AND(Tabelle28[[#This Row],[Entfernung (km) einfach]]&gt;2000,Tabelle28[[#This Row],[Entfernung (km) einfach]]&lt;5000),Tabelle28[[#This Row],[Entfernung (km) gesamt]], 0), 0)*Tabelle28[[#This Row],[Anzahl Studierende ]]</calculatedColumnFormula>
      <totalsRowFormula>SUM(Tabelle28[Flug 2000 - 5000])</totalsRowFormula>
    </tableColumn>
    <tableColumn id="17" xr3:uid="{465B1453-957E-4A05-85D5-6EA33A333607}" name="Flug 5000 - 10000" totalsRowFunction="custom" dataDxfId="402" totalsRowDxfId="401">
      <calculatedColumnFormula>IF(Tabelle28[[#This Row],[Verkehrsmittel]]="Flug", IF(AND(Tabelle28[[#This Row],[Entfernung (km) einfach]]&gt;5000,Tabelle28[[#This Row],[Entfernung (km) einfach]]&lt;10000),Tabelle28[[#This Row],[Entfernung (km) gesamt]], 0), 0)*Tabelle28[[#This Row],[Anzahl Studierende ]]</calculatedColumnFormula>
      <totalsRowFormula>SUM(Tabelle28[Flug 5000 - 10000])</totalsRowFormula>
    </tableColumn>
    <tableColumn id="18" xr3:uid="{BD311FE3-504D-49A0-B560-329C8F4EA3E9}" name="Flug über 10000" totalsRowFunction="custom" dataDxfId="400" totalsRowDxfId="399">
      <calculatedColumnFormula>IF(Tabelle28[[#This Row],[Verkehrsmittel]]="Flug", IF(AND(Tabelle28[[#This Row],[Entfernung (km) einfach]]&gt;10000),Tabelle28[[#This Row],[Entfernung (km) gesamt]]), 0)*Tabelle28[[#This Row],[Anzahl Studierende ]]</calculatedColumnFormula>
      <totalsRowFormula>SUM(Tabelle28[Flug über 10000])</totalsRowFormula>
    </tableColumn>
    <tableColumn id="19" xr3:uid="{D76801F6-795C-4BFE-AAE1-29627930CA11}" name="Motorrad" totalsRowFunction="custom" dataDxfId="398" totalsRowDxfId="397">
      <calculatedColumnFormula>IF(Tabelle28[[#This Row],[Verkehrsmittel]]="Motorrad",Tabelle28[[#This Row],[Entfernung (km) gesamt]],0)*Tabelle28[[#This Row],[Anzahl Studierende ]]</calculatedColumnFormula>
      <totalsRowFormula>SUM(Tabelle28[Motorrad])</totalsRowFormula>
    </tableColumn>
    <tableColumn id="20" xr3:uid="{BDF0B051-2958-4190-9404-C929954DD71B}" name="Straßen-, S-, U-Bahn" totalsRowFunction="custom" dataDxfId="396" totalsRowDxfId="395">
      <calculatedColumnFormula>IF(Tabelle28[[#This Row],[Verkehrsmittel]]="Straßen-, S-, U-Bahn",Tabelle28[[#This Row],[Entfernung (km) gesamt]],0)*Tabelle28[[#This Row],[Anzahl Studierende ]]</calculatedColumnFormula>
      <totalsRowFormula>SUM(Tabelle28[Straßen-, S-, U-Bahn])</totalsRowFormula>
    </tableColumn>
    <tableColumn id="21" xr3:uid="{38B961B2-D772-4979-9BD8-B3E19C8B9B2F}" name="Fahrrad" totalsRowFunction="custom" dataDxfId="394" totalsRowDxfId="393">
      <calculatedColumnFormula>IF(Tabelle28[[#This Row],[Verkehrsmittel]]="Fahrrad",Tabelle28[[#This Row],[Entfernung (km) gesamt]],0)*Tabelle28[[#This Row],[Anzahl Studierende ]]</calculatedColumnFormula>
      <totalsRowFormula>SUM(Tabelle28[Fahrrad])</totalsRowFormula>
    </tableColumn>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le29" displayName="Tabelle29" ref="B7:V40" totalsRowCount="1">
  <autoFilter ref="B7:V39" xr:uid="{00000000-0009-0000-0100-000008000000}"/>
  <sortState xmlns:xlrd2="http://schemas.microsoft.com/office/spreadsheetml/2017/richdata2" ref="B8:J39">
    <sortCondition ref="B7:B39"/>
  </sortState>
  <tableColumns count="21">
    <tableColumn id="1" xr3:uid="{00000000-0010-0000-0600-000001000000}" name="Von" dataDxfId="89" totalsRowDxfId="88"/>
    <tableColumn id="2" xr3:uid="{00000000-0010-0000-0600-000002000000}" name="Bis" dataDxfId="87" totalsRowDxfId="86"/>
    <tableColumn id="3" xr3:uid="{00000000-0010-0000-0600-000003000000}" name="Anzahl Studierende " dataDxfId="85" totalsRowDxfId="84"/>
    <tableColumn id="6" xr3:uid="{00000000-0010-0000-0600-000006000000}" name="Abfahrt " dataDxfId="83" totalsRowDxfId="82"/>
    <tableColumn id="7" xr3:uid="{00000000-0010-0000-0600-000007000000}" name="Ziel" dataDxfId="81" totalsRowDxfId="80"/>
    <tableColumn id="8" xr3:uid="{00000000-0010-0000-0600-000008000000}" name="Entfernung (km) einfach" dataDxfId="79" totalsRowDxfId="78"/>
    <tableColumn id="19" xr3:uid="{7E9182EF-EC66-43A3-9313-AB0EF85FF20E}" name="Entfernung (km) gesamt" dataDxfId="77" totalsRowDxfId="76">
      <calculatedColumnFormula>Tabelle29[[#This Row],[Entfernung (km) einfach]]*2</calculatedColumnFormula>
    </tableColumn>
    <tableColumn id="9" xr3:uid="{00000000-0010-0000-0600-000009000000}" name="Verkehrsmittel" dataDxfId="75" totalsRowDxfId="74"/>
    <tableColumn id="10" xr3:uid="{00000000-0010-0000-0600-00000A000000}" name="Kommentare" dataDxfId="73" totalsRowDxfId="72"/>
    <tableColumn id="4" xr3:uid="{2190D3C5-D7D8-465D-823E-E9054161622F}" name="Km Bus" totalsRowFunction="custom" dataDxfId="392" totalsRowDxfId="391">
      <calculatedColumnFormula>IF(Tabelle29[[#This Row],[Verkehrsmittel]]="Bus",Tabelle29[[#This Row],[Entfernung (km) gesamt]],0)*Tabelle29[[#This Row],[Anzahl Studierende ]]</calculatedColumnFormula>
      <totalsRowFormula>SUM(Tabelle29[Km Bus])</totalsRowFormula>
    </tableColumn>
    <tableColumn id="5" xr3:uid="{4F483905-42E0-4190-BF60-E641CC2750FA}" name="Km Bahn" totalsRowFunction="custom" dataDxfId="390" totalsRowDxfId="389">
      <calculatedColumnFormula>IF(Tabelle29[[#This Row],[Verkehrsmittel]]="Bahn",Tabelle29[[#This Row],[Anzahl Studierende ]]*Tabelle29[[#This Row],[Entfernung (km) gesamt]],0)</calculatedColumnFormula>
      <totalsRowFormula>SUM(Tabelle29[Km Bahn])</totalsRowFormula>
    </tableColumn>
    <tableColumn id="11" xr3:uid="{E30D8B56-CEFE-44B6-9194-75DB7884A2B4}" name="Km PKW" totalsRowFunction="custom" dataDxfId="388" totalsRowDxfId="387">
      <calculatedColumnFormula>IF(Tabelle29[[#This Row],[Verkehrsmittel]]="PKW",Tabelle29[[#This Row],[Anzahl Studierende ]]*Tabelle29[[#This Row],[Entfernung (km) gesamt]],0)</calculatedColumnFormula>
      <totalsRowFormula>SUM(Tabelle29[Km PKW])</totalsRowFormula>
    </tableColumn>
    <tableColumn id="12" xr3:uid="{C19D2AC0-4047-4127-BD55-7D461F718DFF}" name="Flug bis 500" totalsRowFunction="custom" dataDxfId="386" totalsRowDxfId="385">
      <calculatedColumnFormula>IF(Tabelle29[[#This Row],[Verkehrsmittel]]="Flug", IF(AND(Tabelle29[[#This Row],[Entfernung (km) einfach]]&lt;500),Tabelle29[[#This Row],[Entfernung (km) gesamt]]), 0)*Tabelle29[[#This Row],[Anzahl Studierende ]]</calculatedColumnFormula>
      <totalsRowFormula>SUM(Tabelle29[Flug bis 500])</totalsRowFormula>
    </tableColumn>
    <tableColumn id="13" xr3:uid="{B3F72BBF-EBA1-499F-907E-3D0C5630C8D2}" name="Flug 500 - 1000 km" totalsRowFunction="custom" dataDxfId="384" totalsRowDxfId="383">
      <calculatedColumnFormula>IF(Tabelle29[[#This Row],[Verkehrsmittel]]="Flug", IF(AND(Tabelle29[[#This Row],[Entfernung (km) einfach]]&gt;500,Tabelle29[[#This Row],[Entfernung (km) einfach]]&lt;1000),Tabelle29[[#This Row],[Entfernung (km) gesamt]], 0), 0)*Tabelle29[[#This Row],[Anzahl Studierende ]]</calculatedColumnFormula>
      <totalsRowFormula>SUM(Tabelle29[Flug 500 - 1000 km])</totalsRowFormula>
    </tableColumn>
    <tableColumn id="14" xr3:uid="{8D08BB8B-6A60-4D0B-A6F2-DF8C1B1E7E0D}" name="Flug 1000 - 2000" totalsRowFunction="custom" dataDxfId="382" totalsRowDxfId="381">
      <calculatedColumnFormula>IF(Tabelle29[[#This Row],[Verkehrsmittel]]="Flug", IF(AND(Tabelle29[[#This Row],[Entfernung (km) einfach]]&gt;1000,Tabelle29[[#This Row],[Entfernung (km) einfach]]&lt;2000),Tabelle29[[#This Row],[Entfernung (km) gesamt]], 0), 0)*Tabelle29[[#This Row],[Anzahl Studierende ]]</calculatedColumnFormula>
      <totalsRowFormula>SUM(Tabelle29[Flug 1000 - 2000])</totalsRowFormula>
    </tableColumn>
    <tableColumn id="15" xr3:uid="{FA4A5B04-7F34-4BE7-88DD-BC0E32979E4B}" name="Flug 2000 - 5000" totalsRowFunction="custom" dataDxfId="380" totalsRowDxfId="379">
      <calculatedColumnFormula>IF(Tabelle29[[#This Row],[Verkehrsmittel]]="Flug", IF(AND(Tabelle29[[#This Row],[Entfernung (km) einfach]]&gt;2000,Tabelle29[[#This Row],[Entfernung (km) einfach]]&lt;5000),Tabelle29[[#This Row],[Entfernung (km) gesamt]], 0), 0)*Tabelle29[[#This Row],[Anzahl Studierende ]]</calculatedColumnFormula>
      <totalsRowFormula>SUM(Tabelle29[Flug 2000 - 5000])</totalsRowFormula>
    </tableColumn>
    <tableColumn id="16" xr3:uid="{504CE61E-850B-4E66-BF72-A1F26DA2B38E}" name="Flug 5000 - 10000" totalsRowFunction="custom" dataDxfId="378" totalsRowDxfId="377">
      <calculatedColumnFormula>IF(Tabelle29[[#This Row],[Verkehrsmittel]]="Flug", IF(AND(Tabelle29[[#This Row],[Entfernung (km) einfach]]&gt;5000,Tabelle29[[#This Row],[Entfernung (km) einfach]]&lt;10000),Tabelle29[[#This Row],[Entfernung (km) gesamt]], 0), 0)*Tabelle29[[#This Row],[Anzahl Studierende ]]</calculatedColumnFormula>
      <totalsRowFormula>SUM(Tabelle29[Flug 5000 - 10000])</totalsRowFormula>
    </tableColumn>
    <tableColumn id="17" xr3:uid="{F4906DA5-F479-40CE-8C3C-1ADE92F835EF}" name="Flug über 10000" totalsRowFunction="custom" dataDxfId="376" totalsRowDxfId="375">
      <calculatedColumnFormula>IF(Tabelle29[[#This Row],[Verkehrsmittel]]="Flug", IF(AND(Tabelle29[[#This Row],[Entfernung (km) einfach]]&gt;10000),Tabelle29[[#This Row],[Entfernung (km) gesamt]]), 0)*Tabelle29[[#This Row],[Anzahl Studierende ]]</calculatedColumnFormula>
      <totalsRowFormula>SUM(Tabelle29[Flug über 10000])</totalsRowFormula>
    </tableColumn>
    <tableColumn id="18" xr3:uid="{DCF65880-F486-4DF1-8481-B2226D10160B}" name="Motorrad" totalsRowFunction="custom" dataDxfId="374" totalsRowDxfId="373">
      <calculatedColumnFormula>IF(Tabelle29[[#This Row],[Verkehrsmittel]]="Motorrad",Tabelle29[[#This Row],[Entfernung (km) gesamt]],0)*Tabelle29[[#This Row],[Anzahl Studierende ]]</calculatedColumnFormula>
      <totalsRowFormula>SUM(Tabelle29[Motorrad])</totalsRowFormula>
    </tableColumn>
    <tableColumn id="20" xr3:uid="{ACB3F990-B0CE-4883-9BCC-86BAB9BD8BB2}" name="Straßen-, S-, U-Bahn" totalsRowFunction="custom" dataDxfId="372" totalsRowDxfId="371">
      <calculatedColumnFormula>IF(Tabelle29[[#This Row],[Verkehrsmittel]]="Straßen-, S-, U-Bahn",Tabelle29[[#This Row],[Entfernung (km) gesamt]],0)*Tabelle29[[#This Row],[Anzahl Studierende ]]</calculatedColumnFormula>
      <totalsRowFormula>SUM(Tabelle29[Straßen-, S-, U-Bahn])</totalsRowFormula>
    </tableColumn>
    <tableColumn id="21" xr3:uid="{4D8BD506-B22F-4056-A375-EC258DAE4118}" name="Fahrrad" totalsRowFunction="custom" dataDxfId="370" totalsRowDxfId="369">
      <calculatedColumnFormula>IF(Tabelle29[[#This Row],[Verkehrsmittel]]="Fahrrad",Tabelle29[[#This Row],[Entfernung (km) gesamt]],0)*Tabelle29[[#This Row],[Anzahl Studierende ]]</calculatedColumnFormula>
      <totalsRowFormula>SUM(Tabelle29[Fahrrad])</totalsRow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le210" displayName="Tabelle210" ref="B7:V40" totalsRowCount="1">
  <autoFilter ref="B7:V39" xr:uid="{00000000-0009-0000-0100-000009000000}"/>
  <tableColumns count="21">
    <tableColumn id="1" xr3:uid="{00000000-0010-0000-0700-000001000000}" name="Von" dataDxfId="71" totalsRowDxfId="70"/>
    <tableColumn id="2" xr3:uid="{00000000-0010-0000-0700-000002000000}" name="Bis" dataDxfId="69" totalsRowDxfId="68"/>
    <tableColumn id="3" xr3:uid="{00000000-0010-0000-0700-000003000000}" name="Anzahl Studierende " dataDxfId="67" totalsRowDxfId="66"/>
    <tableColumn id="6" xr3:uid="{00000000-0010-0000-0700-000006000000}" name="Abfahrt " dataDxfId="65" totalsRowDxfId="64"/>
    <tableColumn id="7" xr3:uid="{00000000-0010-0000-0700-000007000000}" name="Ziel" dataDxfId="63" totalsRowDxfId="62"/>
    <tableColumn id="8" xr3:uid="{00000000-0010-0000-0700-000008000000}" name="Entfernung (km) einfach" dataDxfId="61" totalsRowDxfId="60"/>
    <tableColumn id="18" xr3:uid="{6C761D62-85C8-40E4-8138-46DA6D84762E}" name="Entfernung (km) gesamt" dataDxfId="59" totalsRowDxfId="58">
      <calculatedColumnFormula>Tabelle210[[#This Row],[Entfernung (km) einfach]]*2</calculatedColumnFormula>
    </tableColumn>
    <tableColumn id="9" xr3:uid="{00000000-0010-0000-0700-000009000000}" name="Verkehrsmittel" dataDxfId="57" totalsRowDxfId="56"/>
    <tableColumn id="4" xr3:uid="{9D443538-5984-4463-A04F-62D0FD47946F}" name="Kommentare" dataDxfId="55" totalsRowDxfId="54"/>
    <tableColumn id="10" xr3:uid="{00000000-0010-0000-0700-00000A000000}" name="Km Bus" totalsRowFunction="custom" dataDxfId="368">
      <calculatedColumnFormula>IF(Tabelle210[[#This Row],[Verkehrsmittel]]="Bus",Tabelle210[[#This Row],[Entfernung (km) gesamt]],0)*Tabelle210[[#This Row],[Anzahl Studierende ]]</calculatedColumnFormula>
      <totalsRowFormula>SUM(Tabelle210[Km Bus])</totalsRowFormula>
    </tableColumn>
    <tableColumn id="5" xr3:uid="{B276BA05-82BC-4930-9282-BE03A216D387}" name="Km Bahn" totalsRowFunction="custom" dataDxfId="367">
      <calculatedColumnFormula>IF(Tabelle210[[#This Row],[Verkehrsmittel]]="Bahn",Tabelle210[[#This Row],[Anzahl Studierende ]]*Tabelle210[[#This Row],[Entfernung (km) gesamt]],0)</calculatedColumnFormula>
      <totalsRowFormula>SUM(Tabelle210[Km Bahn])</totalsRowFormula>
    </tableColumn>
    <tableColumn id="11" xr3:uid="{3CDE38B6-C5E6-452E-B0CA-67925013116D}" name="Km PKW" totalsRowFunction="custom" dataDxfId="366">
      <calculatedColumnFormula>IF(Tabelle210[[#This Row],[Verkehrsmittel]]="PKW",Tabelle210[[#This Row],[Anzahl Studierende ]]*Tabelle210[[#This Row],[Entfernung (km) gesamt]],0)</calculatedColumnFormula>
      <totalsRowFormula>SUM(Tabelle210[Km PKW])</totalsRowFormula>
    </tableColumn>
    <tableColumn id="12" xr3:uid="{9F4891E7-5BBC-465D-961C-0E592A060C72}" name="Flug bis 500" totalsRowFunction="custom" dataDxfId="365">
      <calculatedColumnFormula>IF(Tabelle210[[#This Row],[Verkehrsmittel]]="Flug", IF(AND(Tabelle210[[#This Row],[Entfernung (km) einfach]]&lt;500),Tabelle210[[#This Row],[Entfernung (km) gesamt]]), 0)*Tabelle210[[#This Row],[Anzahl Studierende ]]</calculatedColumnFormula>
      <totalsRowFormula>SUM(Tabelle210[Flug bis 500])</totalsRowFormula>
    </tableColumn>
    <tableColumn id="13" xr3:uid="{5B1F42E3-FB2D-4077-8CC3-B7358151C405}" name="Flug 500 - 1000 km" totalsRowFunction="custom" dataDxfId="364">
      <calculatedColumnFormula>IF(Tabelle210[[#This Row],[Verkehrsmittel]]="Flug", IF(AND(Tabelle210[[#This Row],[Entfernung (km) einfach]]&gt;500,Tabelle210[[#This Row],[Entfernung (km) einfach]]&lt;1000),Tabelle210[[#This Row],[Entfernung (km) gesamt]], 0), 0)*Tabelle210[[#This Row],[Anzahl Studierende ]]</calculatedColumnFormula>
      <totalsRowFormula>SUM(Tabelle210[Flug 500 - 1000 km])</totalsRowFormula>
    </tableColumn>
    <tableColumn id="14" xr3:uid="{728BD417-61A1-4E3F-9011-5C36F8A6EF1C}" name="Flug 1000 - 2000" totalsRowFunction="custom" dataDxfId="363">
      <calculatedColumnFormula>IF(Tabelle210[[#This Row],[Verkehrsmittel]]="Flug", IF(AND(Tabelle210[[#This Row],[Entfernung (km) einfach]]&gt;1000,Tabelle210[[#This Row],[Entfernung (km) einfach]]&lt;2000),Tabelle210[[#This Row],[Entfernung (km) gesamt]], 0), 0)*Tabelle210[[#This Row],[Anzahl Studierende ]]</calculatedColumnFormula>
      <totalsRowFormula>SUM(Tabelle210[Flug 1000 - 2000])</totalsRowFormula>
    </tableColumn>
    <tableColumn id="15" xr3:uid="{D3361C74-8921-457F-834F-D4F749CA3D62}" name="Flug 2000 - 5000" totalsRowFunction="custom" dataDxfId="362">
      <calculatedColumnFormula>IF(Tabelle210[[#This Row],[Verkehrsmittel]]="Flug", IF(AND(Tabelle210[[#This Row],[Entfernung (km) einfach]]&gt;2000,Tabelle210[[#This Row],[Entfernung (km) einfach]]&lt;5000),Tabelle210[[#This Row],[Entfernung (km) gesamt]], 0), 0)*Tabelle210[[#This Row],[Anzahl Studierende ]]</calculatedColumnFormula>
      <totalsRowFormula>SUM(Tabelle210[Flug 2000 - 5000])</totalsRowFormula>
    </tableColumn>
    <tableColumn id="16" xr3:uid="{DEF4BF18-E213-4872-ABE7-6F27DB00451D}" name="Flug 5000 - 10000" totalsRowFunction="custom" dataDxfId="361">
      <calculatedColumnFormula>IF(Tabelle210[[#This Row],[Verkehrsmittel]]="Flug", IF(AND(Tabelle210[[#This Row],[Entfernung (km) einfach]]&gt;5000,Tabelle210[[#This Row],[Entfernung (km) einfach]]&lt;10000),Tabelle210[[#This Row],[Entfernung (km) gesamt]], 0), 0)*Tabelle210[[#This Row],[Anzahl Studierende ]]</calculatedColumnFormula>
      <totalsRowFormula>SUM(Tabelle210[Flug 5000 - 10000])</totalsRowFormula>
    </tableColumn>
    <tableColumn id="17" xr3:uid="{BAFECEA1-FF56-402B-A391-73865E2CA8B8}" name="Flug über 10000" totalsRowFunction="custom" dataDxfId="360">
      <calculatedColumnFormula>IF(Tabelle210[[#This Row],[Verkehrsmittel]]="Flug", IF(AND(Tabelle210[[#This Row],[Entfernung (km) einfach]]&gt;10000),Tabelle210[[#This Row],[Entfernung (km) gesamt]]), 0)*Tabelle210[[#This Row],[Anzahl Studierende ]]</calculatedColumnFormula>
      <totalsRowFormula>SUM(Tabelle210[Flug über 10000])</totalsRowFormula>
    </tableColumn>
    <tableColumn id="19" xr3:uid="{8B6B959E-28EC-4C0A-90E4-B9C5706EB693}" name="Motorrad" totalsRowFunction="custom" dataDxfId="359">
      <calculatedColumnFormula>IF(Tabelle210[[#This Row],[Verkehrsmittel]]="Motorrad",Tabelle210[[#This Row],[Entfernung (km) gesamt]],0)*Tabelle210[[#This Row],[Anzahl Studierende ]]</calculatedColumnFormula>
      <totalsRowFormula>SUM(Tabelle210[Motorrad])</totalsRowFormula>
    </tableColumn>
    <tableColumn id="20" xr3:uid="{4C19B10E-AB54-4BFA-B8C3-61601FC5C36C}" name="Straßen-, S-, U-Bahn" totalsRowFunction="custom" dataDxfId="358">
      <calculatedColumnFormula>IF(Tabelle210[[#This Row],[Verkehrsmittel]]="Straßen-, S-, U-Bahn",Tabelle210[[#This Row],[Entfernung (km) gesamt]],0)*Tabelle210[[#This Row],[Anzahl Studierende ]]</calculatedColumnFormula>
      <totalsRowFormula>SUM(Tabelle210[Straßen-, S-, U-Bahn])</totalsRowFormula>
    </tableColumn>
    <tableColumn id="21" xr3:uid="{F079B44F-2A4E-44AE-87B6-F07EE2837CF1}" name="Fahrrad" totalsRowFunction="custom" dataDxfId="357">
      <calculatedColumnFormula>IF(Tabelle210[[#This Row],[Verkehrsmittel]]="Fahrrad",Tabelle210[[#This Row],[Entfernung (km) gesamt]],0)*Tabelle210[[#This Row],[Anzahl Studierende ]]</calculatedColumnFormula>
      <totalsRowFormula>SUM(Tabelle210[Fahrrad])</totalsRowFormula>
    </tableColum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elle211" displayName="Tabelle211" ref="B7:V40" totalsRowCount="1">
  <autoFilter ref="B7:V39" xr:uid="{00000000-0009-0000-0100-00000A000000}"/>
  <sortState xmlns:xlrd2="http://schemas.microsoft.com/office/spreadsheetml/2017/richdata2" ref="B8:J39">
    <sortCondition ref="B7:B39"/>
  </sortState>
  <tableColumns count="21">
    <tableColumn id="1" xr3:uid="{00000000-0010-0000-0800-000001000000}" name="Von" dataDxfId="53" totalsRowDxfId="52"/>
    <tableColumn id="2" xr3:uid="{00000000-0010-0000-0800-000002000000}" name="Bis" dataDxfId="51" totalsRowDxfId="50"/>
    <tableColumn id="3" xr3:uid="{00000000-0010-0000-0800-000003000000}" name="Anzahl Studierende " dataDxfId="49" totalsRowDxfId="48"/>
    <tableColumn id="6" xr3:uid="{00000000-0010-0000-0800-000006000000}" name="Abfahrt " dataDxfId="47" totalsRowDxfId="46"/>
    <tableColumn id="7" xr3:uid="{00000000-0010-0000-0800-000007000000}" name="Ziel" dataDxfId="45" totalsRowDxfId="44"/>
    <tableColumn id="8" xr3:uid="{00000000-0010-0000-0800-000008000000}" name="Entfernung (km) einfach" dataDxfId="43" totalsRowDxfId="42"/>
    <tableColumn id="17" xr3:uid="{36B9FDF0-DC77-41C2-A24F-D49DAF45A4F3}" name="Entfernung (km) gesamt" dataDxfId="41" totalsRowDxfId="40">
      <calculatedColumnFormula>Tabelle211[[#This Row],[Entfernung (km) einfach]]*2</calculatedColumnFormula>
    </tableColumn>
    <tableColumn id="9" xr3:uid="{00000000-0010-0000-0800-000009000000}" name="Verkehrsmittel" dataDxfId="39" totalsRowDxfId="38"/>
    <tableColumn id="10" xr3:uid="{00000000-0010-0000-0800-00000A000000}" name="Kommentare" dataDxfId="37" totalsRowDxfId="36"/>
    <tableColumn id="4" xr3:uid="{E83EDC08-1B04-43AD-9570-583C14492EA4}" name="Km Bus" totalsRowFunction="custom" dataDxfId="356">
      <calculatedColumnFormula>IF(Tabelle211[[#This Row],[Verkehrsmittel]]="Bus",Tabelle211[[#This Row],[Entfernung (km) gesamt]],0)*Tabelle211[[#This Row],[Anzahl Studierende ]]</calculatedColumnFormula>
      <totalsRowFormula>SUM(Tabelle211[Km Bus])</totalsRowFormula>
    </tableColumn>
    <tableColumn id="5" xr3:uid="{20D058C4-07D1-4A3E-942B-3CAE5D892E65}" name="Km Bahn" totalsRowFunction="custom" dataDxfId="355">
      <calculatedColumnFormula>IF(Tabelle211[[#This Row],[Verkehrsmittel]]="Bahn",Tabelle211[[#This Row],[Anzahl Studierende ]]*Tabelle211[[#This Row],[Entfernung (km) gesamt]],0)</calculatedColumnFormula>
      <totalsRowFormula>SUM(Tabelle211[Km Bahn])</totalsRowFormula>
    </tableColumn>
    <tableColumn id="11" xr3:uid="{3D9DE8A9-601F-48E3-B204-FB73A9692D7F}" name="Km PKW" totalsRowFunction="custom" dataDxfId="354">
      <calculatedColumnFormula>IF(Tabelle211[[#This Row],[Verkehrsmittel]]="PKW",Tabelle211[[#This Row],[Anzahl Studierende ]]*Tabelle211[[#This Row],[Entfernung (km) gesamt]],0)</calculatedColumnFormula>
      <totalsRowFormula>SUM(Tabelle211[Km PKW])</totalsRowFormula>
    </tableColumn>
    <tableColumn id="12" xr3:uid="{D0F151AC-28EA-4F45-AFDC-E097B8F232FF}" name="Flug bis 500" totalsRowFunction="custom" dataDxfId="353">
      <calculatedColumnFormula>IF(Tabelle211[[#This Row],[Verkehrsmittel]]="Flug", IF(AND(Tabelle211[[#This Row],[Entfernung (km) einfach]]&lt;500),Tabelle211[[#This Row],[Entfernung (km) gesamt]]), 0)*Tabelle211[[#This Row],[Anzahl Studierende ]]</calculatedColumnFormula>
      <totalsRowFormula>SUM(Tabelle211[Flug bis 500])</totalsRowFormula>
    </tableColumn>
    <tableColumn id="13" xr3:uid="{BC06E863-2720-4430-BABD-98671BA0FA6B}" name="Flug 500 - 1000 km" totalsRowFunction="custom" dataDxfId="352">
      <calculatedColumnFormula>IF(Tabelle211[[#This Row],[Verkehrsmittel]]="Flug", IF(AND(Tabelle211[[#This Row],[Entfernung (km) einfach]]&gt;500,Tabelle211[[#This Row],[Entfernung (km) einfach]]&lt;1000),Tabelle211[[#This Row],[Entfernung (km) gesamt]], 0), 0)*Tabelle211[[#This Row],[Anzahl Studierende ]]</calculatedColumnFormula>
      <totalsRowFormula>SUM(Tabelle211[Flug 500 - 1000 km])</totalsRowFormula>
    </tableColumn>
    <tableColumn id="14" xr3:uid="{00802E89-8DB7-4C1F-8C87-012B2847DFF6}" name="Flug 1000 - 2000" totalsRowFunction="custom" dataDxfId="351">
      <calculatedColumnFormula>IF(Tabelle211[[#This Row],[Verkehrsmittel]]="Flug", IF(AND(Tabelle211[[#This Row],[Entfernung (km) einfach]]&gt;1000,Tabelle211[[#This Row],[Entfernung (km) einfach]]&lt;2000),Tabelle211[[#This Row],[Entfernung (km) gesamt]], 0), 0)*Tabelle211[[#This Row],[Anzahl Studierende ]]</calculatedColumnFormula>
      <totalsRowFormula>SUM(Tabelle211[Flug 1000 - 2000])</totalsRowFormula>
    </tableColumn>
    <tableColumn id="15" xr3:uid="{571552DF-4682-4CB1-BA31-6D78A9AF0AAB}" name="Flug 2000 - 5000" totalsRowFunction="custom" dataDxfId="350">
      <calculatedColumnFormula>IF(Tabelle211[[#This Row],[Verkehrsmittel]]="Flug", IF(AND(Tabelle211[[#This Row],[Entfernung (km) einfach]]&gt;2000,Tabelle211[[#This Row],[Entfernung (km) einfach]]&lt;5000),Tabelle211[[#This Row],[Entfernung (km) gesamt]], 0), 0)*Tabelle211[[#This Row],[Anzahl Studierende ]]</calculatedColumnFormula>
      <totalsRowFormula>SUM(Tabelle211[Flug 2000 - 5000])</totalsRowFormula>
    </tableColumn>
    <tableColumn id="16" xr3:uid="{1144D290-F68C-41D2-A58E-1F3F358ECBE0}" name="Flug 5000 - 10000" totalsRowFunction="custom" dataDxfId="349">
      <calculatedColumnFormula>IF(Tabelle211[[#This Row],[Verkehrsmittel]]="Flug", IF(AND(Tabelle211[[#This Row],[Entfernung (km) einfach]]&gt;5000,Tabelle211[[#This Row],[Entfernung (km) einfach]]&lt;10000),Tabelle211[[#This Row],[Entfernung (km) gesamt]], 0), 0)*Tabelle211[[#This Row],[Anzahl Studierende ]]</calculatedColumnFormula>
      <totalsRowFormula>SUM(Tabelle211[Flug 5000 - 10000])</totalsRowFormula>
    </tableColumn>
    <tableColumn id="18" xr3:uid="{83F17600-3AEB-4D4C-83FA-D4CCC3ECD0CA}" name="Flug über 10000" totalsRowFunction="custom" dataDxfId="348">
      <calculatedColumnFormula>IF(Tabelle211[[#This Row],[Verkehrsmittel]]="Flug", IF(AND(Tabelle211[[#This Row],[Entfernung (km) einfach]]&gt;10000),Tabelle211[[#This Row],[Entfernung (km) gesamt]]), 0)*Tabelle211[[#This Row],[Anzahl Studierende ]]</calculatedColumnFormula>
      <totalsRowFormula>SUM(Tabelle211[Flug über 10000])</totalsRowFormula>
    </tableColumn>
    <tableColumn id="19" xr3:uid="{739ADB1D-36AD-4CBD-9468-C3F5684981B3}" name="Motorrad" totalsRowFunction="custom" dataDxfId="347">
      <calculatedColumnFormula>IF(Tabelle211[[#This Row],[Verkehrsmittel]]="Motorrad",Tabelle211[[#This Row],[Entfernung (km) gesamt]],0)*Tabelle211[[#This Row],[Anzahl Studierende ]]</calculatedColumnFormula>
      <totalsRowFormula>SUM(Tabelle211[Motorrad])</totalsRowFormula>
    </tableColumn>
    <tableColumn id="20" xr3:uid="{0D2227DC-7C92-4447-8A0F-CDB152F17C04}" name="Straßen-, S-, U-Bahn" totalsRowFunction="custom" dataDxfId="346">
      <calculatedColumnFormula>IF(Tabelle211[[#This Row],[Verkehrsmittel]]="Straßen-, S-, U-Bahn",Tabelle211[[#This Row],[Entfernung (km) gesamt]],0)*Tabelle211[[#This Row],[Anzahl Studierende ]]</calculatedColumnFormula>
      <totalsRowFormula>SUM(Tabelle211[Straßen-, S-, U-Bahn])</totalsRowFormula>
    </tableColumn>
    <tableColumn id="21" xr3:uid="{A50A544D-0A35-4E16-A4C8-4C5C8C7EB399}" name="Fahrrad" totalsRowFunction="custom" dataDxfId="345">
      <calculatedColumnFormula>IF(Tabelle211[[#This Row],[Verkehrsmittel]]="Fahrrad",Tabelle211[[#This Row],[Entfernung (km) gesamt]],0)*Tabelle211[[#This Row],[Anzahl Studierende ]]</calculatedColumnFormula>
      <totalsRowFormula>SUM(Tabelle211[Fahrrad])</totalsRowFormula>
    </tableColumn>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router.de/brouter-web/" TargetMode="External"/><Relationship Id="rId2" Type="http://schemas.openxmlformats.org/officeDocument/2006/relationships/hyperlink" Target="https://www.google.com/maps/dir/W%C3%BCrzburg/Munich/@48.990294,10.7991323,8z/data=!3m1!4b1!4m14!4m13!1m5!1m1!1s0x47a2902012da4dd9:0x41db728f06209a0!2m2!1d9.9533548!2d49.7913044!1m5!1m1!1s0x479e75f9a38c5fd9:0x10cb84a7db1987d!2m2!1d11.5819805!2d48.1351253!3e0?entry=ttu" TargetMode="External"/><Relationship Id="rId1" Type="http://schemas.openxmlformats.org/officeDocument/2006/relationships/hyperlink" Target="https://www.luftlinie.org/Frankfurt-Airport,Frankfurt,Hessen,DEU/Lappeenranta,FI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FF30-356F-4048-B56F-0F2A145AACE9}">
  <dimension ref="A1:O45"/>
  <sheetViews>
    <sheetView showGridLines="0" tabSelected="1" workbookViewId="0">
      <selection activeCell="B29" sqref="B29"/>
    </sheetView>
  </sheetViews>
  <sheetFormatPr baseColWidth="10" defaultRowHeight="13.8"/>
  <cols>
    <col min="1" max="1" width="22.5" customWidth="1"/>
    <col min="2" max="2" width="30.09765625" style="20" customWidth="1"/>
    <col min="3" max="3" width="12.09765625" bestFit="1" customWidth="1"/>
    <col min="4" max="4" width="12.59765625" style="4" bestFit="1" customWidth="1"/>
    <col min="5" max="7" width="11.19921875" style="4"/>
    <col min="8" max="8" width="17.09765625" style="4" bestFit="1" customWidth="1"/>
    <col min="9" max="10" width="14.8984375" bestFit="1" customWidth="1"/>
    <col min="11" max="11" width="16.19921875" bestFit="1" customWidth="1"/>
    <col min="12" max="12" width="17.19921875" bestFit="1" customWidth="1"/>
    <col min="15" max="15" width="19.09765625" bestFit="1" customWidth="1"/>
  </cols>
  <sheetData>
    <row r="1" spans="1:15" ht="14.4" thickBot="1">
      <c r="A1" s="1" t="s">
        <v>38</v>
      </c>
      <c r="C1" s="20"/>
      <c r="D1" s="66"/>
      <c r="E1" s="66"/>
      <c r="F1" s="66"/>
      <c r="G1" s="66"/>
      <c r="H1" s="66"/>
      <c r="I1" s="20"/>
      <c r="J1" s="20"/>
      <c r="K1" s="20"/>
      <c r="L1" s="20"/>
      <c r="M1" s="20"/>
      <c r="N1" s="20"/>
      <c r="O1" s="20"/>
    </row>
    <row r="2" spans="1:15" ht="14.4" thickBot="1">
      <c r="A2" s="1"/>
      <c r="C2" s="20"/>
      <c r="D2" s="66"/>
      <c r="E2" s="85" t="s">
        <v>51</v>
      </c>
      <c r="F2" s="86"/>
      <c r="G2" s="86"/>
      <c r="H2" s="87"/>
      <c r="I2" s="20"/>
      <c r="J2" s="20"/>
      <c r="K2" s="20"/>
      <c r="L2" s="20"/>
      <c r="M2" s="20"/>
      <c r="N2" s="20"/>
      <c r="O2" s="20"/>
    </row>
    <row r="3" spans="1:15" ht="14.4" thickBot="1">
      <c r="A3" s="1" t="s">
        <v>36</v>
      </c>
      <c r="B3" s="21"/>
      <c r="C3" s="20"/>
      <c r="D3" s="66"/>
      <c r="E3" s="88"/>
      <c r="F3" s="89"/>
      <c r="G3" s="89"/>
      <c r="H3" s="90"/>
      <c r="I3" s="20"/>
      <c r="J3" s="20"/>
      <c r="K3" s="20"/>
      <c r="L3" s="20"/>
      <c r="M3" s="20"/>
      <c r="N3" s="20"/>
      <c r="O3" s="20"/>
    </row>
    <row r="4" spans="1:15" ht="14.4" thickBot="1">
      <c r="C4" s="20"/>
      <c r="D4" s="66"/>
      <c r="E4" s="88"/>
      <c r="F4" s="89"/>
      <c r="G4" s="89"/>
      <c r="H4" s="90"/>
      <c r="I4" s="20"/>
      <c r="J4" s="20"/>
      <c r="K4" s="20"/>
      <c r="L4" s="20"/>
      <c r="M4" s="20"/>
      <c r="N4" s="20"/>
      <c r="O4" s="20"/>
    </row>
    <row r="5" spans="1:15" ht="14.4" thickBot="1">
      <c r="A5" s="1" t="s">
        <v>37</v>
      </c>
      <c r="B5" s="21"/>
      <c r="C5" s="32"/>
      <c r="D5" s="66"/>
      <c r="E5" s="91"/>
      <c r="F5" s="92"/>
      <c r="G5" s="92"/>
      <c r="H5" s="93"/>
      <c r="I5" s="20"/>
      <c r="J5" s="20"/>
      <c r="K5" s="20"/>
      <c r="L5" s="20"/>
      <c r="M5" s="20"/>
      <c r="N5" s="20"/>
      <c r="O5" s="20"/>
    </row>
    <row r="6" spans="1:15" ht="14.4" thickBot="1">
      <c r="C6" s="20"/>
      <c r="D6" s="66"/>
      <c r="E6" s="66"/>
      <c r="F6" s="66"/>
      <c r="G6" s="66"/>
      <c r="H6" s="66"/>
      <c r="I6" s="20"/>
      <c r="J6" s="20"/>
      <c r="K6" s="20"/>
      <c r="L6" s="20"/>
      <c r="M6" s="20"/>
      <c r="N6" s="20"/>
      <c r="O6" s="20"/>
    </row>
    <row r="7" spans="1:15">
      <c r="C7" s="67" t="s">
        <v>50</v>
      </c>
      <c r="D7" s="68"/>
      <c r="E7" s="68"/>
      <c r="F7" s="68"/>
      <c r="G7" s="68"/>
      <c r="H7" s="68"/>
      <c r="I7" s="68"/>
      <c r="J7" s="68"/>
      <c r="K7" s="68"/>
      <c r="L7" s="68"/>
      <c r="M7" s="68"/>
      <c r="N7" s="68"/>
      <c r="O7" s="69"/>
    </row>
    <row r="8" spans="1:15" ht="14.4" thickBot="1">
      <c r="C8" s="70"/>
      <c r="D8" s="71"/>
      <c r="E8" s="71"/>
      <c r="F8" s="71"/>
      <c r="G8" s="71"/>
      <c r="H8" s="71"/>
      <c r="I8" s="71"/>
      <c r="J8" s="71"/>
      <c r="K8" s="71"/>
      <c r="L8" s="71"/>
      <c r="M8" s="71"/>
      <c r="N8" s="71"/>
      <c r="O8" s="72"/>
    </row>
    <row r="9" spans="1:15" ht="14.4" thickBot="1">
      <c r="C9" s="20"/>
      <c r="D9" s="66"/>
      <c r="E9" s="66"/>
      <c r="F9" s="66"/>
      <c r="G9" s="66"/>
      <c r="H9" s="66"/>
      <c r="I9" s="20"/>
      <c r="J9" s="20"/>
      <c r="K9" s="20"/>
      <c r="L9" s="20"/>
      <c r="M9" s="20"/>
      <c r="N9" s="20"/>
      <c r="O9" s="20"/>
    </row>
    <row r="10" spans="1:15" ht="14.4" thickBot="1">
      <c r="C10" s="73" t="s">
        <v>19</v>
      </c>
      <c r="D10" s="74" t="s">
        <v>13</v>
      </c>
      <c r="E10" s="74" t="s">
        <v>14</v>
      </c>
      <c r="F10" s="74" t="s">
        <v>15</v>
      </c>
      <c r="G10" s="74" t="s">
        <v>23</v>
      </c>
      <c r="H10" s="74" t="s">
        <v>24</v>
      </c>
      <c r="I10" s="74" t="s">
        <v>17</v>
      </c>
      <c r="J10" s="74" t="s">
        <v>20</v>
      </c>
      <c r="K10" s="74" t="s">
        <v>18</v>
      </c>
      <c r="L10" s="74" t="s">
        <v>21</v>
      </c>
      <c r="M10" s="74" t="s">
        <v>33</v>
      </c>
      <c r="N10" s="74" t="s">
        <v>10</v>
      </c>
      <c r="O10" s="74" t="s">
        <v>34</v>
      </c>
    </row>
    <row r="11" spans="1:15">
      <c r="C11" s="75" t="str">
        <f>'Fakultät 1'!B3</f>
        <v>Fakultät 1</v>
      </c>
      <c r="D11" s="76">
        <f>Tabelle2[[#Totals],[Km Bus]]</f>
        <v>0</v>
      </c>
      <c r="E11" s="76">
        <f>Tabelle2[[#Totals],[Km Bahn]]</f>
        <v>0</v>
      </c>
      <c r="F11" s="76">
        <f>Tabelle2[[#Totals],[Km PKW]]</f>
        <v>0</v>
      </c>
      <c r="G11" s="76">
        <f>Tabelle2[[#Totals],[Flug bis 500]]</f>
        <v>0</v>
      </c>
      <c r="H11" s="76">
        <f>Tabelle2[[#Totals],[Flug 500 - 1000 km]]</f>
        <v>0</v>
      </c>
      <c r="I11" s="76">
        <f>Tabelle2[[#Totals],[Flug 1000 - 2000]]</f>
        <v>0</v>
      </c>
      <c r="J11" s="76">
        <f>Tabelle2[[#Totals],[Flug 2000 - 5000]]</f>
        <v>0</v>
      </c>
      <c r="K11" s="76">
        <f>Tabelle2[[#Totals],[Flug 5000 - 10000]]</f>
        <v>0</v>
      </c>
      <c r="L11" s="76">
        <f>Tabelle2[[#Totals],[Flug über 10000]]</f>
        <v>0</v>
      </c>
      <c r="M11" s="76">
        <f>Tabelle2[[#Totals],[Motorrad]]</f>
        <v>0</v>
      </c>
      <c r="N11" s="76">
        <f>Tabelle2[[#Totals],[Straßen-, S-, U-Bahn]]</f>
        <v>0</v>
      </c>
      <c r="O11" s="76">
        <f>Tabelle2[[#Totals],[Fahrrad]]</f>
        <v>0</v>
      </c>
    </row>
    <row r="12" spans="1:15">
      <c r="C12" s="77" t="str">
        <f>'Fakultät 2'!B3</f>
        <v>Fakultät 2</v>
      </c>
      <c r="D12" s="78">
        <f>Tabelle24[[#Totals],[Km Bus]]</f>
        <v>0</v>
      </c>
      <c r="E12" s="78">
        <f>Tabelle24[[#Totals],[Km Bahn]]</f>
        <v>0</v>
      </c>
      <c r="F12" s="78">
        <f>Tabelle24[[#Totals],[Km PKW]]</f>
        <v>0</v>
      </c>
      <c r="G12" s="78">
        <f>Tabelle24[[#Totals],[Flug bis 500]]</f>
        <v>0</v>
      </c>
      <c r="H12" s="78">
        <f>Tabelle24[[#Totals],[Flug 500 - 1000 km]]</f>
        <v>0</v>
      </c>
      <c r="I12" s="78">
        <f>Tabelle24[[#Totals],[Flug 1000 - 2000]]</f>
        <v>0</v>
      </c>
      <c r="J12" s="78">
        <f>Tabelle24[[#Totals],[Flug 2000 - 5000]]</f>
        <v>0</v>
      </c>
      <c r="K12" s="78">
        <f>Tabelle24[[#Totals],[Flug 5000 - 10000]]</f>
        <v>0</v>
      </c>
      <c r="L12" s="78">
        <f>Tabelle24[[#Totals],[Flug über 10000]]</f>
        <v>0</v>
      </c>
      <c r="M12" s="78">
        <f>Tabelle24[[#Totals],[Motorrad]]</f>
        <v>0</v>
      </c>
      <c r="N12" s="78">
        <f>Tabelle24[[#Totals],[Straßen-, S-, U-Bahn]]</f>
        <v>0</v>
      </c>
      <c r="O12" s="78">
        <f>Tabelle24[[#Totals],[Fahrrad]]</f>
        <v>0</v>
      </c>
    </row>
    <row r="13" spans="1:15">
      <c r="C13" s="77" t="str">
        <f>'Fakultät 3'!B3</f>
        <v>Fakultät 3</v>
      </c>
      <c r="D13" s="78">
        <f>Tabelle25[[#Totals],[Km Bus]]</f>
        <v>0</v>
      </c>
      <c r="E13" s="78">
        <f>Tabelle25[[#Totals],[Km Bahn]]</f>
        <v>0</v>
      </c>
      <c r="F13" s="78">
        <f>Tabelle25[[#Totals],[Km PKW]]</f>
        <v>0</v>
      </c>
      <c r="G13" s="78">
        <f>Tabelle25[[#Totals],[Flug bis 500]]</f>
        <v>0</v>
      </c>
      <c r="H13" s="78">
        <f>Tabelle25[[#Totals],[Flug 500 - 1000 km]]</f>
        <v>0</v>
      </c>
      <c r="I13" s="78">
        <f>Tabelle25[[#Totals],[Flug 1000 - 2000]]</f>
        <v>0</v>
      </c>
      <c r="J13" s="78">
        <f>Tabelle25[[#Totals],[Flug 2000 - 5000]]</f>
        <v>0</v>
      </c>
      <c r="K13" s="78">
        <f>Tabelle25[[#Totals],[Flug 5000 - 10000]]</f>
        <v>0</v>
      </c>
      <c r="L13" s="78">
        <f>Tabelle25[[#Totals],[Flug über 10000]]</f>
        <v>0</v>
      </c>
      <c r="M13" s="78">
        <f>Tabelle25[[#Totals],[Motorrad]]</f>
        <v>0</v>
      </c>
      <c r="N13" s="78">
        <f>Tabelle25[[#Totals],[Straßen-, S-, U-Bahn]]</f>
        <v>0</v>
      </c>
      <c r="O13" s="78">
        <f>Tabelle25[[#Totals],[Fahrrad]]</f>
        <v>0</v>
      </c>
    </row>
    <row r="14" spans="1:15">
      <c r="C14" s="77" t="str">
        <f>'Fakultät 4'!B3</f>
        <v>Fakultät 4</v>
      </c>
      <c r="D14" s="78">
        <f>Tabelle26[[#Totals],[Km Bus]]</f>
        <v>0</v>
      </c>
      <c r="E14" s="78">
        <f>Tabelle26[[#Totals],[Km Bahn]]</f>
        <v>0</v>
      </c>
      <c r="F14" s="78">
        <f>Tabelle26[[#Totals],[Km PKW]]</f>
        <v>0</v>
      </c>
      <c r="G14" s="78">
        <f>Tabelle26[[#Totals],[Flug bis 500]]</f>
        <v>0</v>
      </c>
      <c r="H14" s="78">
        <f>Tabelle26[[#Totals],[Flug 500 - 1000 km]]</f>
        <v>0</v>
      </c>
      <c r="I14" s="78">
        <f>Tabelle26[[#Totals],[Flug 1000 - 2000]]</f>
        <v>0</v>
      </c>
      <c r="J14" s="78">
        <f>Tabelle26[[#Totals],[Flug 2000 - 5000]]</f>
        <v>0</v>
      </c>
      <c r="K14" s="78">
        <f>Tabelle26[[#Totals],[Flug 5000 - 10000]]</f>
        <v>0</v>
      </c>
      <c r="L14" s="78">
        <f>Tabelle26[[#Totals],[Flug über 10000]]</f>
        <v>0</v>
      </c>
      <c r="M14" s="78">
        <f>Tabelle26[[#Totals],[Motorrad]]</f>
        <v>0</v>
      </c>
      <c r="N14" s="78">
        <f>Tabelle26[[#Totals],[Straßen-, S-, U-Bahn]]</f>
        <v>0</v>
      </c>
      <c r="O14" s="78">
        <f>Tabelle26[[#Totals],[Fahrrad]]</f>
        <v>0</v>
      </c>
    </row>
    <row r="15" spans="1:15">
      <c r="C15" s="77" t="str">
        <f>'Fakultät 5'!B3</f>
        <v>Fakultät 5</v>
      </c>
      <c r="D15" s="78">
        <f>Tabelle27[[#Totals],[Km Bus]]</f>
        <v>0</v>
      </c>
      <c r="E15" s="78">
        <f>Tabelle27[[#Totals],[Km Bahn]]</f>
        <v>0</v>
      </c>
      <c r="F15" s="78">
        <f>Tabelle27[[#Totals],[Km PKW]]</f>
        <v>0</v>
      </c>
      <c r="G15" s="78">
        <f>Tabelle27[[#Totals],[Flug bis 500]]</f>
        <v>0</v>
      </c>
      <c r="H15" s="78">
        <f>Tabelle27[[#Totals],[Flug 500 - 1000 km]]</f>
        <v>0</v>
      </c>
      <c r="I15" s="78">
        <f>Tabelle27[[#Totals],[Flug 1000 - 2000]]</f>
        <v>0</v>
      </c>
      <c r="J15" s="78">
        <f>Tabelle27[[#Totals],[Flug 2000 - 5000]]</f>
        <v>0</v>
      </c>
      <c r="K15" s="78">
        <f>Tabelle27[[#Totals],[Flug 5000 - 10000]]</f>
        <v>0</v>
      </c>
      <c r="L15" s="78">
        <f>Tabelle27[[#Totals],[Flug über 10000]]</f>
        <v>0</v>
      </c>
      <c r="M15" s="78">
        <f>Tabelle27[[#Totals],[Motorrad]]</f>
        <v>0</v>
      </c>
      <c r="N15" s="78">
        <f>Tabelle27[[#Totals],[Straßen-, S-, U-Bahn]]</f>
        <v>0</v>
      </c>
      <c r="O15" s="78">
        <f>Tabelle27[[#Totals],[Fahrrad]]</f>
        <v>0</v>
      </c>
    </row>
    <row r="16" spans="1:15">
      <c r="C16" s="77" t="str">
        <f>'Fakultät 6'!B3</f>
        <v>Fakultät 6</v>
      </c>
      <c r="D16" s="79">
        <f>Tabelle28[[#Totals],[Km Bus]]</f>
        <v>0</v>
      </c>
      <c r="E16" s="79">
        <f>Tabelle28[[#Totals],[Km Bahn]]</f>
        <v>0</v>
      </c>
      <c r="F16" s="79">
        <f>Tabelle28[[#Totals],[Km PKW]]</f>
        <v>0</v>
      </c>
      <c r="G16" s="79">
        <f>Tabelle28[[#Totals],[Flug bis 500]]</f>
        <v>0</v>
      </c>
      <c r="H16" s="79">
        <f>Tabelle28[[#Totals],[Flug 500 - 1000 km]]</f>
        <v>0</v>
      </c>
      <c r="I16" s="79">
        <f>Tabelle28[[#Totals],[Flug 1000 - 2000]]</f>
        <v>0</v>
      </c>
      <c r="J16" s="79">
        <f>Tabelle28[[#Totals],[Flug 2000 - 5000]]</f>
        <v>0</v>
      </c>
      <c r="K16" s="79">
        <f>Tabelle28[[#Totals],[Flug 5000 - 10000]]</f>
        <v>0</v>
      </c>
      <c r="L16" s="79">
        <f>Tabelle28[[#Totals],[Flug über 10000]]</f>
        <v>0</v>
      </c>
      <c r="M16" s="79">
        <f>Tabelle28[[#Totals],[Motorrad]]</f>
        <v>0</v>
      </c>
      <c r="N16" s="79">
        <f>Tabelle28[[#Totals],[Straßen-, S-, U-Bahn]]</f>
        <v>0</v>
      </c>
      <c r="O16" s="79">
        <f>Tabelle28[[#Totals],[Fahrrad]]</f>
        <v>0</v>
      </c>
    </row>
    <row r="17" spans="1:15">
      <c r="C17" s="77" t="str">
        <f>'Fakultät 7'!B3</f>
        <v>Fakultät 7</v>
      </c>
      <c r="D17" s="79">
        <f>Tabelle29[[#Totals],[Km Bus]]</f>
        <v>0</v>
      </c>
      <c r="E17" s="79">
        <f>Tabelle29[[#Totals],[Km Bahn]]</f>
        <v>0</v>
      </c>
      <c r="F17" s="79">
        <f>Tabelle29[[#Totals],[Km PKW]]</f>
        <v>0</v>
      </c>
      <c r="G17" s="79">
        <f>Tabelle29[[#Totals],[Flug bis 500]]</f>
        <v>0</v>
      </c>
      <c r="H17" s="79">
        <f>Tabelle29[[#Totals],[Flug 500 - 1000 km]]</f>
        <v>0</v>
      </c>
      <c r="I17" s="79">
        <f>Tabelle29[[#Totals],[Flug 1000 - 2000]]</f>
        <v>0</v>
      </c>
      <c r="J17" s="79">
        <f>Tabelle29[[#Totals],[Flug 2000 - 5000]]</f>
        <v>0</v>
      </c>
      <c r="K17" s="79">
        <f>Tabelle29[[#Totals],[Flug 5000 - 10000]]</f>
        <v>0</v>
      </c>
      <c r="L17" s="79">
        <f>Tabelle29[[#Totals],[Flug über 10000]]</f>
        <v>0</v>
      </c>
      <c r="M17" s="79">
        <f>Tabelle29[[#Totals],[Motorrad]]</f>
        <v>0</v>
      </c>
      <c r="N17" s="79">
        <f>Tabelle29[[#Totals],[Straßen-, S-, U-Bahn]]</f>
        <v>0</v>
      </c>
      <c r="O17" s="79">
        <f>Tabelle29[[#Totals],[Fahrrad]]</f>
        <v>0</v>
      </c>
    </row>
    <row r="18" spans="1:15">
      <c r="C18" s="77" t="str">
        <f>'Fakultät 8'!B3</f>
        <v>Fakultät 8</v>
      </c>
      <c r="D18" s="79">
        <f>Tabelle210[[#Totals],[Km Bus]]</f>
        <v>0</v>
      </c>
      <c r="E18" s="79">
        <f>Tabelle210[[#Totals],[Km Bahn]]</f>
        <v>0</v>
      </c>
      <c r="F18" s="79">
        <f>Tabelle210[[#Totals],[Km PKW]]</f>
        <v>0</v>
      </c>
      <c r="G18" s="79">
        <f>Tabelle210[[#Totals],[Flug bis 500]]</f>
        <v>0</v>
      </c>
      <c r="H18" s="79">
        <f>Tabelle210[[#Totals],[Flug 500 - 1000 km]]</f>
        <v>0</v>
      </c>
      <c r="I18" s="79">
        <f>Tabelle210[[#Totals],[Flug 1000 - 2000]]</f>
        <v>0</v>
      </c>
      <c r="J18" s="79">
        <f>Tabelle210[[#Totals],[Flug 2000 - 5000]]</f>
        <v>0</v>
      </c>
      <c r="K18" s="79">
        <f>Tabelle210[[#Totals],[Flug 5000 - 10000]]</f>
        <v>0</v>
      </c>
      <c r="L18" s="79">
        <f>Tabelle210[[#Totals],[Flug über 10000]]</f>
        <v>0</v>
      </c>
      <c r="M18" s="79">
        <f>Tabelle210[[#Totals],[Motorrad]]</f>
        <v>0</v>
      </c>
      <c r="N18" s="79">
        <f>Tabelle210[[#Totals],[Straßen-, S-, U-Bahn]]</f>
        <v>0</v>
      </c>
      <c r="O18" s="79">
        <f>Tabelle210[[#Totals],[Fahrrad]]</f>
        <v>0</v>
      </c>
    </row>
    <row r="19" spans="1:15">
      <c r="C19" s="77" t="str">
        <f>+'Fakultät 9'!B3</f>
        <v>Fakultät 9</v>
      </c>
      <c r="D19" s="79">
        <f>Tabelle211[[#Totals],[Km Bus]]</f>
        <v>0</v>
      </c>
      <c r="E19" s="79">
        <f>Tabelle211[[#Totals],[Km Bahn]]</f>
        <v>0</v>
      </c>
      <c r="F19" s="79">
        <f>Tabelle211[[#Totals],[Km PKW]]</f>
        <v>0</v>
      </c>
      <c r="G19" s="79">
        <f>Tabelle211[[#Totals],[Flug bis 500]]</f>
        <v>0</v>
      </c>
      <c r="H19" s="79">
        <f>Tabelle211[[#Totals],[Flug 500 - 1000 km]]</f>
        <v>0</v>
      </c>
      <c r="I19" s="79">
        <f>Tabelle211[[#Totals],[Flug 1000 - 2000]]</f>
        <v>0</v>
      </c>
      <c r="J19" s="79">
        <f>Tabelle211[[#Totals],[Flug 2000 - 5000]]</f>
        <v>0</v>
      </c>
      <c r="K19" s="79">
        <f>Tabelle211[[#Totals],[Flug 5000 - 10000]]</f>
        <v>0</v>
      </c>
      <c r="L19" s="79">
        <f>Tabelle211[[#Totals],[Flug über 10000]]</f>
        <v>0</v>
      </c>
      <c r="M19" s="79">
        <f>Tabelle211[[#Totals],[Motorrad]]</f>
        <v>0</v>
      </c>
      <c r="N19" s="79">
        <f>Tabelle211[[#Totals],[Straßen-, S-, U-Bahn]]</f>
        <v>0</v>
      </c>
      <c r="O19" s="79">
        <f>Tabelle211[[#Totals],[Fahrrad]]</f>
        <v>0</v>
      </c>
    </row>
    <row r="20" spans="1:15">
      <c r="C20" s="77" t="str">
        <f>+'Fakultät 10'!B3</f>
        <v>Fakultät 10</v>
      </c>
      <c r="D20" s="79">
        <f>Tabelle212[[#Totals],[Km Bus]]</f>
        <v>0</v>
      </c>
      <c r="E20" s="79">
        <f>Tabelle212[[#Totals],[Km Bahn]]</f>
        <v>0</v>
      </c>
      <c r="F20" s="79">
        <f>Tabelle212[[#Totals],[Km PKW]]</f>
        <v>0</v>
      </c>
      <c r="G20" s="79">
        <f>Tabelle212[[#Totals],[Flug bis 500]]</f>
        <v>0</v>
      </c>
      <c r="H20" s="79">
        <f>Tabelle212[[#Totals],[Flug 500 - 1000 km]]</f>
        <v>0</v>
      </c>
      <c r="I20" s="79">
        <f>Tabelle212[[#Totals],[Flug 1000 - 2000]]</f>
        <v>0</v>
      </c>
      <c r="J20" s="79">
        <f>Tabelle212[[#Totals],[Flug 2000 - 5000]]</f>
        <v>0</v>
      </c>
      <c r="K20" s="79">
        <f>Tabelle212[[#Totals],[Flug 5000 - 10000]]</f>
        <v>0</v>
      </c>
      <c r="L20" s="79">
        <f>Tabelle212[[#Totals],[Flug über 10000]]</f>
        <v>0</v>
      </c>
      <c r="M20" s="79">
        <f>Tabelle212[[#Totals],[Motorrad]]</f>
        <v>0</v>
      </c>
      <c r="N20" s="79">
        <f>Tabelle212[[#Totals],[Straßen-, S-, U-Bahn]]</f>
        <v>0</v>
      </c>
      <c r="O20" s="79">
        <f>Tabelle212[[#Totals],[Fahrrad]]</f>
        <v>0</v>
      </c>
    </row>
    <row r="21" spans="1:15" ht="14.4" thickBot="1">
      <c r="C21" s="80" t="str">
        <f>+'Fakultät 11'!B3</f>
        <v>Fakultät 11</v>
      </c>
      <c r="D21" s="81">
        <f>Tabelle21213[[#Totals],[Km Bus]]</f>
        <v>0</v>
      </c>
      <c r="E21" s="81">
        <f>Tabelle21213[[#Totals],[Km Bahn]]</f>
        <v>0</v>
      </c>
      <c r="F21" s="81">
        <f>Tabelle21213[[#Totals],[Km PKW]]</f>
        <v>0</v>
      </c>
      <c r="G21" s="82">
        <f>Tabelle21213[[#Totals],[Flug bis 500]]</f>
        <v>0</v>
      </c>
      <c r="H21" s="82">
        <f>Tabelle21213[[#Totals],[Flug 500 - 1000 km]]</f>
        <v>0</v>
      </c>
      <c r="I21" s="82">
        <f>Tabelle21213[[#Totals],[Flug 1000 - 2000]]</f>
        <v>0</v>
      </c>
      <c r="J21" s="82">
        <f>Tabelle21213[[#Totals],[Flug 2000 - 5000]]</f>
        <v>0</v>
      </c>
      <c r="K21" s="82">
        <f>Tabelle21213[[#Totals],[Flug 5000 - 10000]]</f>
        <v>0</v>
      </c>
      <c r="L21" s="82">
        <f>Tabelle21213[[#Totals],[Flug über 10000]]</f>
        <v>0</v>
      </c>
      <c r="M21" s="82">
        <f>Tabelle21213[[#Totals],[Motorrad]]</f>
        <v>0</v>
      </c>
      <c r="N21" s="82">
        <f>Tabelle21213[[#Totals],[Straßen-, S-, U-Bahn]]</f>
        <v>0</v>
      </c>
      <c r="O21" s="82">
        <f>Tabelle21213[[#Totals],[Fahrrad]]</f>
        <v>0</v>
      </c>
    </row>
    <row r="22" spans="1:15" ht="14.4" thickBot="1">
      <c r="C22" s="83" t="s">
        <v>32</v>
      </c>
      <c r="D22" s="84">
        <f t="shared" ref="D22:K22" si="0">SUM(D11:D21)</f>
        <v>0</v>
      </c>
      <c r="E22" s="84">
        <f t="shared" si="0"/>
        <v>0</v>
      </c>
      <c r="F22" s="84">
        <f t="shared" si="0"/>
        <v>0</v>
      </c>
      <c r="G22" s="84">
        <f t="shared" si="0"/>
        <v>0</v>
      </c>
      <c r="H22" s="84">
        <f t="shared" si="0"/>
        <v>0</v>
      </c>
      <c r="I22" s="84">
        <f t="shared" si="0"/>
        <v>0</v>
      </c>
      <c r="J22" s="84">
        <f t="shared" si="0"/>
        <v>0</v>
      </c>
      <c r="K22" s="84">
        <f t="shared" si="0"/>
        <v>0</v>
      </c>
      <c r="L22" s="84">
        <f>SUM(L11:L21)</f>
        <v>0</v>
      </c>
      <c r="M22" s="84">
        <f t="shared" ref="M22:O22" si="1">SUM(M11:M21)</f>
        <v>0</v>
      </c>
      <c r="N22" s="84">
        <f t="shared" si="1"/>
        <v>0</v>
      </c>
      <c r="O22" s="84">
        <f t="shared" si="1"/>
        <v>0</v>
      </c>
    </row>
    <row r="23" spans="1:15">
      <c r="C23" s="20"/>
      <c r="D23" s="66"/>
      <c r="E23" s="66"/>
      <c r="F23" s="66"/>
      <c r="G23" s="66"/>
      <c r="H23" s="66"/>
      <c r="I23" s="20"/>
      <c r="J23" s="20"/>
      <c r="K23" s="20"/>
      <c r="L23" s="20"/>
      <c r="M23" s="20"/>
      <c r="N23" s="20"/>
      <c r="O23" s="20"/>
    </row>
    <row r="24" spans="1:15">
      <c r="C24" s="20"/>
      <c r="D24" s="66"/>
      <c r="E24" s="66"/>
      <c r="F24" s="66"/>
      <c r="G24" s="66"/>
      <c r="H24" s="66"/>
      <c r="I24" s="20"/>
      <c r="J24" s="20"/>
      <c r="K24" s="20"/>
      <c r="L24" s="20"/>
      <c r="M24" s="20"/>
      <c r="N24" s="20"/>
      <c r="O24" s="20"/>
    </row>
    <row r="25" spans="1:15">
      <c r="C25" s="1" t="s">
        <v>25</v>
      </c>
      <c r="D25"/>
    </row>
    <row r="26" spans="1:15">
      <c r="C26" s="1" t="s">
        <v>26</v>
      </c>
      <c r="D26" s="16" t="s">
        <v>27</v>
      </c>
    </row>
    <row r="27" spans="1:15">
      <c r="C27" s="1" t="s">
        <v>28</v>
      </c>
      <c r="D27" s="16" t="s">
        <v>29</v>
      </c>
    </row>
    <row r="28" spans="1:15">
      <c r="C28" s="1" t="s">
        <v>30</v>
      </c>
      <c r="D28" s="16" t="s">
        <v>31</v>
      </c>
    </row>
    <row r="30" spans="1:15" ht="14.4" thickBot="1"/>
    <row r="31" spans="1:15" ht="13.8" customHeight="1">
      <c r="C31" s="57" t="s">
        <v>52</v>
      </c>
      <c r="D31" s="58"/>
      <c r="E31" s="58"/>
      <c r="F31" s="58"/>
      <c r="G31" s="58"/>
      <c r="H31" s="58"/>
      <c r="I31" s="58"/>
      <c r="J31" s="58"/>
      <c r="K31" s="60"/>
      <c r="L31" s="56"/>
      <c r="M31" s="56"/>
    </row>
    <row r="32" spans="1:15">
      <c r="A32" s="56"/>
      <c r="C32" s="61"/>
      <c r="D32" s="59"/>
      <c r="E32" s="59"/>
      <c r="F32" s="59"/>
      <c r="G32" s="59"/>
      <c r="H32" s="59"/>
      <c r="I32" s="59"/>
      <c r="J32" s="59"/>
      <c r="K32" s="62"/>
      <c r="L32" s="56"/>
      <c r="M32" s="56"/>
    </row>
    <row r="33" spans="1:13">
      <c r="A33" s="56"/>
      <c r="C33" s="61"/>
      <c r="D33" s="59"/>
      <c r="E33" s="59"/>
      <c r="F33" s="59"/>
      <c r="G33" s="59"/>
      <c r="H33" s="59"/>
      <c r="I33" s="59"/>
      <c r="J33" s="59"/>
      <c r="K33" s="62"/>
      <c r="L33" s="56"/>
      <c r="M33" s="56"/>
    </row>
    <row r="34" spans="1:13">
      <c r="A34" s="56"/>
      <c r="C34" s="61"/>
      <c r="D34" s="59"/>
      <c r="E34" s="59"/>
      <c r="F34" s="59"/>
      <c r="G34" s="59"/>
      <c r="H34" s="59"/>
      <c r="I34" s="59"/>
      <c r="J34" s="59"/>
      <c r="K34" s="62"/>
      <c r="L34" s="56"/>
      <c r="M34" s="56"/>
    </row>
    <row r="35" spans="1:13">
      <c r="A35" s="56"/>
      <c r="C35" s="61"/>
      <c r="D35" s="59"/>
      <c r="E35" s="59"/>
      <c r="F35" s="59"/>
      <c r="G35" s="59"/>
      <c r="H35" s="59"/>
      <c r="I35" s="59"/>
      <c r="J35" s="59"/>
      <c r="K35" s="62"/>
      <c r="L35" s="56"/>
      <c r="M35" s="56"/>
    </row>
    <row r="36" spans="1:13">
      <c r="A36" s="56"/>
      <c r="B36" s="56"/>
      <c r="C36" s="61"/>
      <c r="D36" s="59"/>
      <c r="E36" s="59"/>
      <c r="F36" s="59"/>
      <c r="G36" s="59"/>
      <c r="H36" s="59"/>
      <c r="I36" s="59"/>
      <c r="J36" s="59"/>
      <c r="K36" s="62"/>
      <c r="L36" s="56"/>
      <c r="M36" s="56"/>
    </row>
    <row r="37" spans="1:13" ht="14.4" thickBot="1">
      <c r="A37" s="56"/>
      <c r="B37" s="56"/>
      <c r="C37" s="63"/>
      <c r="D37" s="64"/>
      <c r="E37" s="64"/>
      <c r="F37" s="64"/>
      <c r="G37" s="64"/>
      <c r="H37" s="64"/>
      <c r="I37" s="64"/>
      <c r="J37" s="64"/>
      <c r="K37" s="65"/>
      <c r="L37" s="56"/>
      <c r="M37" s="56"/>
    </row>
    <row r="38" spans="1:13">
      <c r="A38" s="56"/>
      <c r="B38" s="56"/>
      <c r="C38" s="56"/>
      <c r="D38" s="56"/>
      <c r="E38" s="56"/>
      <c r="F38" s="56"/>
      <c r="G38" s="56"/>
      <c r="H38" s="56"/>
      <c r="I38" s="56"/>
      <c r="J38" s="56"/>
      <c r="K38" s="56"/>
      <c r="L38" s="56"/>
      <c r="M38" s="56"/>
    </row>
    <row r="39" spans="1:13">
      <c r="A39" s="56"/>
      <c r="B39" s="56"/>
      <c r="L39" s="56"/>
      <c r="M39" s="56"/>
    </row>
    <row r="40" spans="1:13">
      <c r="A40" s="56"/>
      <c r="B40" s="56"/>
      <c r="L40" s="56"/>
      <c r="M40" s="56"/>
    </row>
    <row r="41" spans="1:13">
      <c r="A41" s="56"/>
      <c r="B41" s="56"/>
      <c r="L41" s="56"/>
      <c r="M41" s="56"/>
    </row>
    <row r="42" spans="1:13">
      <c r="A42" s="56"/>
      <c r="B42" s="56"/>
      <c r="L42" s="56"/>
      <c r="M42" s="56"/>
    </row>
    <row r="43" spans="1:13">
      <c r="A43" s="56"/>
      <c r="B43" s="56"/>
      <c r="L43" s="56"/>
      <c r="M43" s="56"/>
    </row>
    <row r="44" spans="1:13">
      <c r="A44" s="56"/>
      <c r="B44" s="56"/>
      <c r="C44" s="56"/>
      <c r="D44" s="56"/>
      <c r="E44" s="56"/>
      <c r="F44" s="56"/>
      <c r="G44" s="56"/>
      <c r="H44" s="56"/>
      <c r="I44" s="56"/>
      <c r="J44" s="56"/>
      <c r="K44" s="56"/>
      <c r="L44" s="56"/>
      <c r="M44" s="56"/>
    </row>
    <row r="45" spans="1:13">
      <c r="A45" s="56"/>
      <c r="B45" s="56"/>
      <c r="C45" s="56"/>
      <c r="D45" s="56"/>
      <c r="E45" s="56"/>
      <c r="F45" s="56"/>
      <c r="G45" s="56"/>
      <c r="H45" s="56"/>
      <c r="I45" s="56"/>
      <c r="J45" s="56"/>
      <c r="K45" s="56"/>
      <c r="L45" s="56"/>
      <c r="M45" s="56"/>
    </row>
  </sheetData>
  <sheetProtection algorithmName="SHA-512" hashValue="QYe9PRZAxm7jqY4IXKNj6pol352k7965Pmi2sSF0VsYbbeV8JZJQk4/heAacU4wr6VLHiZ8m8wKxawMUBdWpHw==" saltValue="LvyAL8uvBRkzZm1Ux/co/w==" spinCount="100000" sheet="1" objects="1" formatCells="0" formatColumns="0" formatRows="0" insertColumns="0" insertRows="0" insertHyperlinks="0" deleteColumns="0" deleteRows="0" sort="0" autoFilter="0" pivotTables="0"/>
  <mergeCells count="3">
    <mergeCell ref="C7:O8"/>
    <mergeCell ref="E2:H5"/>
    <mergeCell ref="C31:K37"/>
  </mergeCells>
  <phoneticPr fontId="3" type="noConversion"/>
  <hyperlinks>
    <hyperlink ref="D27" r:id="rId1" xr:uid="{6F45F12F-A388-40DA-ADB3-BB74F85CF4F5}"/>
    <hyperlink ref="D28" r:id="rId2" display="https://www.google.com/maps/dir/W%C3%BCrzburg/Munich/@48.990294,10.7991323,8z/data=!3m1!4b1!4m14!4m13!1m5!1m1!1s0x47a2902012da4dd9:0x41db728f06209a0!2m2!1d9.9533548!2d49.7913044!1m5!1m1!1s0x479e75f9a38c5fd9:0x10cb84a7db1987d!2m2!1d11.5819805!2d48.1351253!3e0?entry=ttu" xr:uid="{899FADDF-0F79-4F6A-AE1E-12E45E7E1FF7}"/>
    <hyperlink ref="D26" r:id="rId3" location="map=17/50.03335/10.21398/osm-mapnik-german_style&amp;lonlats=9.935908,49.801987;10.212038,50.035057&amp;profile=car-fast" xr:uid="{2B322DEB-44B4-4D42-9B17-FC27E7F44CB6}"/>
  </hyperlinks>
  <pageMargins left="0.7" right="0.7" top="0.78740157499999996" bottom="0.78740157499999996" header="0.3" footer="0.3"/>
  <pageSetup paperSize="9" orientation="portrait" horizontalDpi="4294967293" verticalDpi="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0"/>
  <sheetViews>
    <sheetView showGridLines="0" workbookViewId="0">
      <selection activeCell="E3" sqref="E3"/>
    </sheetView>
  </sheetViews>
  <sheetFormatPr baseColWidth="10" defaultRowHeight="13.8"/>
  <cols>
    <col min="1" max="1" width="21.8984375" bestFit="1" customWidth="1"/>
    <col min="2" max="3" width="11.19921875" style="20"/>
    <col min="4" max="4" width="20.8984375" style="20" bestFit="1" customWidth="1"/>
    <col min="5" max="5" width="26.296875" style="20" customWidth="1"/>
    <col min="6" max="6" width="21.5" style="20" customWidth="1"/>
    <col min="7" max="7" width="24.3984375" style="20" bestFit="1" customWidth="1"/>
    <col min="8" max="8" width="24.19921875" style="20" bestFit="1" customWidth="1"/>
    <col min="9" max="9" width="25.59765625" style="20" bestFit="1" customWidth="1"/>
    <col min="10" max="10" width="21.5" style="20" bestFit="1" customWidth="1"/>
    <col min="11" max="19" width="11.19921875" hidden="1" customWidth="1"/>
    <col min="20" max="22" width="0" hidden="1" customWidth="1"/>
  </cols>
  <sheetData>
    <row r="1" spans="1:22" ht="14.4" thickBot="1"/>
    <row r="2" spans="1:22" ht="14.4" thickBot="1">
      <c r="B2" s="98"/>
      <c r="F2" s="94" t="s">
        <v>51</v>
      </c>
      <c r="G2" s="95"/>
    </row>
    <row r="3" spans="1:22" ht="14.4" thickBot="1">
      <c r="A3" s="1" t="s">
        <v>19</v>
      </c>
      <c r="B3" s="54" t="s">
        <v>45</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9" t="s">
        <v>33</v>
      </c>
      <c r="U7" s="9" t="s">
        <v>34</v>
      </c>
      <c r="V7" s="8" t="s">
        <v>10</v>
      </c>
    </row>
    <row r="8" spans="1:22" ht="15.6">
      <c r="B8" s="104"/>
      <c r="C8" s="105"/>
      <c r="D8" s="106"/>
      <c r="E8" s="107"/>
      <c r="F8" s="107"/>
      <c r="G8" s="106"/>
      <c r="H8" s="107">
        <f>Tabelle211[[#This Row],[Entfernung (km) einfach]]*2</f>
        <v>0</v>
      </c>
      <c r="I8" s="107"/>
      <c r="J8" s="158"/>
      <c r="K8" s="7">
        <f>IF(Tabelle211[[#This Row],[Verkehrsmittel]]="Bus",Tabelle211[[#This Row],[Entfernung (km) gesamt]],0)*Tabelle211[[#This Row],[Anzahl Studierende ]]</f>
        <v>0</v>
      </c>
      <c r="L8" s="7">
        <f>IF(Tabelle211[[#This Row],[Verkehrsmittel]]="Bahn",Tabelle211[[#This Row],[Anzahl Studierende ]]*Tabelle211[[#This Row],[Entfernung (km) gesamt]],0)</f>
        <v>0</v>
      </c>
      <c r="M8" s="7">
        <f>IF(Tabelle211[[#This Row],[Verkehrsmittel]]="PKW",Tabelle211[[#This Row],[Anzahl Studierende ]]*Tabelle211[[#This Row],[Entfernung (km) gesamt]],0)</f>
        <v>0</v>
      </c>
      <c r="N8" s="7">
        <f>IF(Tabelle211[[#This Row],[Verkehrsmittel]]="Flug", IF(AND(Tabelle211[[#This Row],[Entfernung (km) einfach]]&lt;500),Tabelle211[[#This Row],[Entfernung (km) gesamt]]), 0)*Tabelle211[[#This Row],[Anzahl Studierende ]]</f>
        <v>0</v>
      </c>
      <c r="O8" s="7">
        <f>IF(Tabelle211[[#This Row],[Verkehrsmittel]]="Flug", IF(AND(Tabelle211[[#This Row],[Entfernung (km) einfach]]&gt;500,Tabelle211[[#This Row],[Entfernung (km) einfach]]&lt;1000),Tabelle211[[#This Row],[Entfernung (km) gesamt]], 0), 0)*Tabelle211[[#This Row],[Anzahl Studierende ]]</f>
        <v>0</v>
      </c>
      <c r="P8" s="7">
        <f>IF(Tabelle211[[#This Row],[Verkehrsmittel]]="Flug", IF(AND(Tabelle211[[#This Row],[Entfernung (km) einfach]]&gt;1000,Tabelle211[[#This Row],[Entfernung (km) einfach]]&lt;2000),Tabelle211[[#This Row],[Entfernung (km) gesamt]], 0), 0)*Tabelle211[[#This Row],[Anzahl Studierende ]]</f>
        <v>0</v>
      </c>
      <c r="Q8" s="7">
        <f>IF(Tabelle211[[#This Row],[Verkehrsmittel]]="Flug", IF(AND(Tabelle211[[#This Row],[Entfernung (km) einfach]]&gt;2000,Tabelle211[[#This Row],[Entfernung (km) einfach]]&lt;5000),Tabelle211[[#This Row],[Entfernung (km) gesamt]], 0), 0)*Tabelle211[[#This Row],[Anzahl Studierende ]]</f>
        <v>0</v>
      </c>
      <c r="R8" s="7">
        <f>IF(Tabelle211[[#This Row],[Verkehrsmittel]]="Flug", IF(AND(Tabelle211[[#This Row],[Entfernung (km) einfach]]&gt;5000,Tabelle211[[#This Row],[Entfernung (km) einfach]]&lt;10000),Tabelle211[[#This Row],[Entfernung (km) gesamt]], 0), 0)*Tabelle211[[#This Row],[Anzahl Studierende ]]</f>
        <v>0</v>
      </c>
      <c r="S8" s="7">
        <f>IF(Tabelle211[[#This Row],[Verkehrsmittel]]="Flug", IF(AND(Tabelle211[[#This Row],[Entfernung (km) einfach]]&gt;10000),Tabelle211[[#This Row],[Entfernung (km) gesamt]]), 0)*Tabelle211[[#This Row],[Anzahl Studierende ]]</f>
        <v>0</v>
      </c>
      <c r="T8" s="9">
        <f>IF(Tabelle211[[#This Row],[Verkehrsmittel]]="Motorrad",Tabelle211[[#This Row],[Entfernung (km) gesamt]],0)*Tabelle211[[#This Row],[Anzahl Studierende ]]</f>
        <v>0</v>
      </c>
      <c r="U8" s="9">
        <f>IF(Tabelle211[[#This Row],[Verkehrsmittel]]="Straßen-, S-, U-Bahn",Tabelle211[[#This Row],[Entfernung (km) gesamt]],0)*Tabelle211[[#This Row],[Anzahl Studierende ]]</f>
        <v>0</v>
      </c>
      <c r="V8" s="9">
        <f>IF(Tabelle211[[#This Row],[Verkehrsmittel]]="Fahrrad",Tabelle211[[#This Row],[Entfernung (km) gesamt]],0)*Tabelle211[[#This Row],[Anzahl Studierende ]]</f>
        <v>0</v>
      </c>
    </row>
    <row r="9" spans="1:22">
      <c r="B9" s="159"/>
      <c r="C9" s="111"/>
      <c r="D9" s="160"/>
      <c r="E9" s="111"/>
      <c r="F9" s="111"/>
      <c r="G9" s="111"/>
      <c r="H9" s="111">
        <f>Tabelle211[[#This Row],[Entfernung (km) einfach]]*2</f>
        <v>0</v>
      </c>
      <c r="I9" s="111"/>
      <c r="J9" s="140"/>
      <c r="K9">
        <f>IF(Tabelle211[[#This Row],[Verkehrsmittel]]="Bus",Tabelle211[[#This Row],[Entfernung (km) gesamt]],0)*Tabelle211[[#This Row],[Anzahl Studierende ]]</f>
        <v>0</v>
      </c>
      <c r="L9">
        <f>IF(Tabelle211[[#This Row],[Verkehrsmittel]]="Bahn",Tabelle211[[#This Row],[Anzahl Studierende ]]*Tabelle211[[#This Row],[Entfernung (km) gesamt]],0)</f>
        <v>0</v>
      </c>
      <c r="M9">
        <f>IF(Tabelle211[[#This Row],[Verkehrsmittel]]="PKW",Tabelle211[[#This Row],[Anzahl Studierende ]]*Tabelle211[[#This Row],[Entfernung (km) gesamt]],0)</f>
        <v>0</v>
      </c>
      <c r="N9">
        <f>IF(Tabelle211[[#This Row],[Verkehrsmittel]]="Flug", IF(AND(Tabelle211[[#This Row],[Entfernung (km) einfach]]&lt;500),Tabelle211[[#This Row],[Entfernung (km) gesamt]]), 0)*Tabelle211[[#This Row],[Anzahl Studierende ]]</f>
        <v>0</v>
      </c>
      <c r="O9">
        <f>IF(Tabelle211[[#This Row],[Verkehrsmittel]]="Flug", IF(AND(Tabelle211[[#This Row],[Entfernung (km) einfach]]&gt;500,Tabelle211[[#This Row],[Entfernung (km) einfach]]&lt;1000),Tabelle211[[#This Row],[Entfernung (km) gesamt]], 0), 0)*Tabelle211[[#This Row],[Anzahl Studierende ]]</f>
        <v>0</v>
      </c>
      <c r="P9">
        <f>IF(Tabelle211[[#This Row],[Verkehrsmittel]]="Flug", IF(AND(Tabelle211[[#This Row],[Entfernung (km) einfach]]&gt;1000,Tabelle211[[#This Row],[Entfernung (km) einfach]]&lt;2000),Tabelle211[[#This Row],[Entfernung (km) gesamt]], 0), 0)*Tabelle211[[#This Row],[Anzahl Studierende ]]</f>
        <v>0</v>
      </c>
      <c r="Q9">
        <f>IF(Tabelle211[[#This Row],[Verkehrsmittel]]="Flug", IF(AND(Tabelle211[[#This Row],[Entfernung (km) einfach]]&gt;2000,Tabelle211[[#This Row],[Entfernung (km) einfach]]&lt;5000),Tabelle211[[#This Row],[Entfernung (km) gesamt]], 0), 0)*Tabelle211[[#This Row],[Anzahl Studierende ]]</f>
        <v>0</v>
      </c>
      <c r="R9">
        <f>IF(Tabelle211[[#This Row],[Verkehrsmittel]]="Flug", IF(AND(Tabelle211[[#This Row],[Entfernung (km) einfach]]&gt;5000,Tabelle211[[#This Row],[Entfernung (km) einfach]]&lt;10000),Tabelle211[[#This Row],[Entfernung (km) gesamt]], 0), 0)*Tabelle211[[#This Row],[Anzahl Studierende ]]</f>
        <v>0</v>
      </c>
      <c r="S9">
        <f>IF(Tabelle211[[#This Row],[Verkehrsmittel]]="Flug", IF(AND(Tabelle211[[#This Row],[Entfernung (km) einfach]]&gt;10000),Tabelle211[[#This Row],[Entfernung (km) gesamt]]), 0)*Tabelle211[[#This Row],[Anzahl Studierende ]]</f>
        <v>0</v>
      </c>
      <c r="T9">
        <f>IF(Tabelle211[[#This Row],[Verkehrsmittel]]="Motorrad",Tabelle211[[#This Row],[Entfernung (km) gesamt]],0)*Tabelle211[[#This Row],[Anzahl Studierende ]]</f>
        <v>0</v>
      </c>
      <c r="U9">
        <f>IF(Tabelle211[[#This Row],[Verkehrsmittel]]="Straßen-, S-, U-Bahn",Tabelle211[[#This Row],[Entfernung (km) gesamt]],0)*Tabelle211[[#This Row],[Anzahl Studierende ]]</f>
        <v>0</v>
      </c>
      <c r="V9">
        <f>IF(Tabelle211[[#This Row],[Verkehrsmittel]]="Fahrrad",Tabelle211[[#This Row],[Entfernung (km) gesamt]],0)*Tabelle211[[#This Row],[Anzahl Studierende ]]</f>
        <v>0</v>
      </c>
    </row>
    <row r="10" spans="1:22">
      <c r="B10" s="159"/>
      <c r="C10" s="111"/>
      <c r="D10" s="160"/>
      <c r="E10" s="111"/>
      <c r="F10" s="111"/>
      <c r="G10" s="111"/>
      <c r="H10" s="111">
        <f>Tabelle211[[#This Row],[Entfernung (km) einfach]]*2</f>
        <v>0</v>
      </c>
      <c r="I10" s="111"/>
      <c r="J10" s="140"/>
      <c r="K10">
        <f>IF(Tabelle211[[#This Row],[Verkehrsmittel]]="Bus",Tabelle211[[#This Row],[Entfernung (km) gesamt]],0)*Tabelle211[[#This Row],[Anzahl Studierende ]]</f>
        <v>0</v>
      </c>
      <c r="L10">
        <f>IF(Tabelle211[[#This Row],[Verkehrsmittel]]="Bahn",Tabelle211[[#This Row],[Anzahl Studierende ]]*Tabelle211[[#This Row],[Entfernung (km) gesamt]],0)</f>
        <v>0</v>
      </c>
      <c r="M10">
        <f>IF(Tabelle211[[#This Row],[Verkehrsmittel]]="PKW",Tabelle211[[#This Row],[Anzahl Studierende ]]*Tabelle211[[#This Row],[Entfernung (km) gesamt]],0)</f>
        <v>0</v>
      </c>
      <c r="N10">
        <f>IF(Tabelle211[[#This Row],[Verkehrsmittel]]="Flug", IF(AND(Tabelle211[[#This Row],[Entfernung (km) einfach]]&lt;500),Tabelle211[[#This Row],[Entfernung (km) gesamt]]), 0)*Tabelle211[[#This Row],[Anzahl Studierende ]]</f>
        <v>0</v>
      </c>
      <c r="O10">
        <f>IF(Tabelle211[[#This Row],[Verkehrsmittel]]="Flug", IF(AND(Tabelle211[[#This Row],[Entfernung (km) einfach]]&gt;500,Tabelle211[[#This Row],[Entfernung (km) einfach]]&lt;1000),Tabelle211[[#This Row],[Entfernung (km) gesamt]], 0), 0)*Tabelle211[[#This Row],[Anzahl Studierende ]]</f>
        <v>0</v>
      </c>
      <c r="P10">
        <f>IF(Tabelle211[[#This Row],[Verkehrsmittel]]="Flug", IF(AND(Tabelle211[[#This Row],[Entfernung (km) einfach]]&gt;1000,Tabelle211[[#This Row],[Entfernung (km) einfach]]&lt;2000),Tabelle211[[#This Row],[Entfernung (km) gesamt]], 0), 0)*Tabelle211[[#This Row],[Anzahl Studierende ]]</f>
        <v>0</v>
      </c>
      <c r="Q10">
        <f>IF(Tabelle211[[#This Row],[Verkehrsmittel]]="Flug", IF(AND(Tabelle211[[#This Row],[Entfernung (km) einfach]]&gt;2000,Tabelle211[[#This Row],[Entfernung (km) einfach]]&lt;5000),Tabelle211[[#This Row],[Entfernung (km) gesamt]], 0), 0)*Tabelle211[[#This Row],[Anzahl Studierende ]]</f>
        <v>0</v>
      </c>
      <c r="R10">
        <f>IF(Tabelle211[[#This Row],[Verkehrsmittel]]="Flug", IF(AND(Tabelle211[[#This Row],[Entfernung (km) einfach]]&gt;5000,Tabelle211[[#This Row],[Entfernung (km) einfach]]&lt;10000),Tabelle211[[#This Row],[Entfernung (km) gesamt]], 0), 0)*Tabelle211[[#This Row],[Anzahl Studierende ]]</f>
        <v>0</v>
      </c>
      <c r="S10">
        <f>IF(Tabelle211[[#This Row],[Verkehrsmittel]]="Flug", IF(AND(Tabelle211[[#This Row],[Entfernung (km) einfach]]&gt;10000),Tabelle211[[#This Row],[Entfernung (km) gesamt]]), 0)*Tabelle211[[#This Row],[Anzahl Studierende ]]</f>
        <v>0</v>
      </c>
      <c r="T10">
        <f>IF(Tabelle211[[#This Row],[Verkehrsmittel]]="Motorrad",Tabelle211[[#This Row],[Entfernung (km) gesamt]],0)*Tabelle211[[#This Row],[Anzahl Studierende ]]</f>
        <v>0</v>
      </c>
      <c r="U10">
        <f>IF(Tabelle211[[#This Row],[Verkehrsmittel]]="Straßen-, S-, U-Bahn",Tabelle211[[#This Row],[Entfernung (km) gesamt]],0)*Tabelle211[[#This Row],[Anzahl Studierende ]]</f>
        <v>0</v>
      </c>
      <c r="V10">
        <f>IF(Tabelle211[[#This Row],[Verkehrsmittel]]="Fahrrad",Tabelle211[[#This Row],[Entfernung (km) gesamt]],0)*Tabelle211[[#This Row],[Anzahl Studierende ]]</f>
        <v>0</v>
      </c>
    </row>
    <row r="11" spans="1:22">
      <c r="B11" s="159"/>
      <c r="C11" s="111"/>
      <c r="D11" s="160"/>
      <c r="E11" s="111"/>
      <c r="F11" s="111"/>
      <c r="G11" s="111"/>
      <c r="H11" s="111">
        <f>Tabelle211[[#This Row],[Entfernung (km) einfach]]*2</f>
        <v>0</v>
      </c>
      <c r="I11" s="111"/>
      <c r="J11" s="140"/>
      <c r="K11">
        <f>IF(Tabelle211[[#This Row],[Verkehrsmittel]]="Bus",Tabelle211[[#This Row],[Entfernung (km) gesamt]],0)*Tabelle211[[#This Row],[Anzahl Studierende ]]</f>
        <v>0</v>
      </c>
      <c r="L11">
        <f>IF(Tabelle211[[#This Row],[Verkehrsmittel]]="Bahn",Tabelle211[[#This Row],[Anzahl Studierende ]]*Tabelle211[[#This Row],[Entfernung (km) gesamt]],0)</f>
        <v>0</v>
      </c>
      <c r="M11">
        <f>IF(Tabelle211[[#This Row],[Verkehrsmittel]]="PKW",Tabelle211[[#This Row],[Anzahl Studierende ]]*Tabelle211[[#This Row],[Entfernung (km) gesamt]],0)</f>
        <v>0</v>
      </c>
      <c r="N11">
        <f>IF(Tabelle211[[#This Row],[Verkehrsmittel]]="Flug", IF(AND(Tabelle211[[#This Row],[Entfernung (km) einfach]]&lt;500),Tabelle211[[#This Row],[Entfernung (km) gesamt]]), 0)*Tabelle211[[#This Row],[Anzahl Studierende ]]</f>
        <v>0</v>
      </c>
      <c r="O11">
        <f>IF(Tabelle211[[#This Row],[Verkehrsmittel]]="Flug", IF(AND(Tabelle211[[#This Row],[Entfernung (km) einfach]]&gt;500,Tabelle211[[#This Row],[Entfernung (km) einfach]]&lt;1000),Tabelle211[[#This Row],[Entfernung (km) gesamt]], 0), 0)*Tabelle211[[#This Row],[Anzahl Studierende ]]</f>
        <v>0</v>
      </c>
      <c r="P11">
        <f>IF(Tabelle211[[#This Row],[Verkehrsmittel]]="Flug", IF(AND(Tabelle211[[#This Row],[Entfernung (km) einfach]]&gt;1000,Tabelle211[[#This Row],[Entfernung (km) einfach]]&lt;2000),Tabelle211[[#This Row],[Entfernung (km) gesamt]], 0), 0)*Tabelle211[[#This Row],[Anzahl Studierende ]]</f>
        <v>0</v>
      </c>
      <c r="Q11">
        <f>IF(Tabelle211[[#This Row],[Verkehrsmittel]]="Flug", IF(AND(Tabelle211[[#This Row],[Entfernung (km) einfach]]&gt;2000,Tabelle211[[#This Row],[Entfernung (km) einfach]]&lt;5000),Tabelle211[[#This Row],[Entfernung (km) gesamt]], 0), 0)*Tabelle211[[#This Row],[Anzahl Studierende ]]</f>
        <v>0</v>
      </c>
      <c r="R11">
        <f>IF(Tabelle211[[#This Row],[Verkehrsmittel]]="Flug", IF(AND(Tabelle211[[#This Row],[Entfernung (km) einfach]]&gt;5000,Tabelle211[[#This Row],[Entfernung (km) einfach]]&lt;10000),Tabelle211[[#This Row],[Entfernung (km) gesamt]], 0), 0)*Tabelle211[[#This Row],[Anzahl Studierende ]]</f>
        <v>0</v>
      </c>
      <c r="S11">
        <f>IF(Tabelle211[[#This Row],[Verkehrsmittel]]="Flug", IF(AND(Tabelle211[[#This Row],[Entfernung (km) einfach]]&gt;10000),Tabelle211[[#This Row],[Entfernung (km) gesamt]]), 0)*Tabelle211[[#This Row],[Anzahl Studierende ]]</f>
        <v>0</v>
      </c>
      <c r="T11">
        <f>IF(Tabelle211[[#This Row],[Verkehrsmittel]]="Motorrad",Tabelle211[[#This Row],[Entfernung (km) gesamt]],0)*Tabelle211[[#This Row],[Anzahl Studierende ]]</f>
        <v>0</v>
      </c>
      <c r="U11">
        <f>IF(Tabelle211[[#This Row],[Verkehrsmittel]]="Straßen-, S-, U-Bahn",Tabelle211[[#This Row],[Entfernung (km) gesamt]],0)*Tabelle211[[#This Row],[Anzahl Studierende ]]</f>
        <v>0</v>
      </c>
      <c r="V11">
        <f>IF(Tabelle211[[#This Row],[Verkehrsmittel]]="Fahrrad",Tabelle211[[#This Row],[Entfernung (km) gesamt]],0)*Tabelle211[[#This Row],[Anzahl Studierende ]]</f>
        <v>0</v>
      </c>
    </row>
    <row r="12" spans="1:22">
      <c r="B12" s="159"/>
      <c r="C12" s="111"/>
      <c r="D12" s="160"/>
      <c r="E12" s="111"/>
      <c r="F12" s="111"/>
      <c r="G12" s="111"/>
      <c r="H12" s="111">
        <f>Tabelle211[[#This Row],[Entfernung (km) einfach]]*2</f>
        <v>0</v>
      </c>
      <c r="I12" s="111"/>
      <c r="J12" s="140"/>
      <c r="K12">
        <f>IF(Tabelle211[[#This Row],[Verkehrsmittel]]="Bus",Tabelle211[[#This Row],[Entfernung (km) gesamt]],0)*Tabelle211[[#This Row],[Anzahl Studierende ]]</f>
        <v>0</v>
      </c>
      <c r="L12">
        <f>IF(Tabelle211[[#This Row],[Verkehrsmittel]]="Bahn",Tabelle211[[#This Row],[Anzahl Studierende ]]*Tabelle211[[#This Row],[Entfernung (km) gesamt]],0)</f>
        <v>0</v>
      </c>
      <c r="M12">
        <f>IF(Tabelle211[[#This Row],[Verkehrsmittel]]="PKW",Tabelle211[[#This Row],[Anzahl Studierende ]]*Tabelle211[[#This Row],[Entfernung (km) gesamt]],0)</f>
        <v>0</v>
      </c>
      <c r="N12">
        <f>IF(Tabelle211[[#This Row],[Verkehrsmittel]]="Flug", IF(AND(Tabelle211[[#This Row],[Entfernung (km) einfach]]&lt;500),Tabelle211[[#This Row],[Entfernung (km) gesamt]]), 0)*Tabelle211[[#This Row],[Anzahl Studierende ]]</f>
        <v>0</v>
      </c>
      <c r="O12">
        <f>IF(Tabelle211[[#This Row],[Verkehrsmittel]]="Flug", IF(AND(Tabelle211[[#This Row],[Entfernung (km) einfach]]&gt;500,Tabelle211[[#This Row],[Entfernung (km) einfach]]&lt;1000),Tabelle211[[#This Row],[Entfernung (km) gesamt]], 0), 0)*Tabelle211[[#This Row],[Anzahl Studierende ]]</f>
        <v>0</v>
      </c>
      <c r="P12">
        <f>IF(Tabelle211[[#This Row],[Verkehrsmittel]]="Flug", IF(AND(Tabelle211[[#This Row],[Entfernung (km) einfach]]&gt;1000,Tabelle211[[#This Row],[Entfernung (km) einfach]]&lt;2000),Tabelle211[[#This Row],[Entfernung (km) gesamt]], 0), 0)*Tabelle211[[#This Row],[Anzahl Studierende ]]</f>
        <v>0</v>
      </c>
      <c r="Q12">
        <f>IF(Tabelle211[[#This Row],[Verkehrsmittel]]="Flug", IF(AND(Tabelle211[[#This Row],[Entfernung (km) einfach]]&gt;2000,Tabelle211[[#This Row],[Entfernung (km) einfach]]&lt;5000),Tabelle211[[#This Row],[Entfernung (km) gesamt]], 0), 0)*Tabelle211[[#This Row],[Anzahl Studierende ]]</f>
        <v>0</v>
      </c>
      <c r="R12">
        <f>IF(Tabelle211[[#This Row],[Verkehrsmittel]]="Flug", IF(AND(Tabelle211[[#This Row],[Entfernung (km) einfach]]&gt;5000,Tabelle211[[#This Row],[Entfernung (km) einfach]]&lt;10000),Tabelle211[[#This Row],[Entfernung (km) gesamt]], 0), 0)*Tabelle211[[#This Row],[Anzahl Studierende ]]</f>
        <v>0</v>
      </c>
      <c r="S12">
        <f>IF(Tabelle211[[#This Row],[Verkehrsmittel]]="Flug", IF(AND(Tabelle211[[#This Row],[Entfernung (km) einfach]]&gt;10000),Tabelle211[[#This Row],[Entfernung (km) gesamt]]), 0)*Tabelle211[[#This Row],[Anzahl Studierende ]]</f>
        <v>0</v>
      </c>
      <c r="T12">
        <f>IF(Tabelle211[[#This Row],[Verkehrsmittel]]="Motorrad",Tabelle211[[#This Row],[Entfernung (km) gesamt]],0)*Tabelle211[[#This Row],[Anzahl Studierende ]]</f>
        <v>0</v>
      </c>
      <c r="U12">
        <f>IF(Tabelle211[[#This Row],[Verkehrsmittel]]="Straßen-, S-, U-Bahn",Tabelle211[[#This Row],[Entfernung (km) gesamt]],0)*Tabelle211[[#This Row],[Anzahl Studierende ]]</f>
        <v>0</v>
      </c>
      <c r="V12">
        <f>IF(Tabelle211[[#This Row],[Verkehrsmittel]]="Fahrrad",Tabelle211[[#This Row],[Entfernung (km) gesamt]],0)*Tabelle211[[#This Row],[Anzahl Studierende ]]</f>
        <v>0</v>
      </c>
    </row>
    <row r="13" spans="1:22">
      <c r="B13" s="159"/>
      <c r="C13" s="111"/>
      <c r="D13" s="160"/>
      <c r="E13" s="111"/>
      <c r="F13" s="111"/>
      <c r="G13" s="111"/>
      <c r="H13" s="111">
        <f>Tabelle211[[#This Row],[Entfernung (km) einfach]]*2</f>
        <v>0</v>
      </c>
      <c r="I13" s="111"/>
      <c r="J13" s="140"/>
      <c r="K13">
        <f>IF(Tabelle211[[#This Row],[Verkehrsmittel]]="Bus",Tabelle211[[#This Row],[Entfernung (km) gesamt]],0)*Tabelle211[[#This Row],[Anzahl Studierende ]]</f>
        <v>0</v>
      </c>
      <c r="L13">
        <f>IF(Tabelle211[[#This Row],[Verkehrsmittel]]="Bahn",Tabelle211[[#This Row],[Anzahl Studierende ]]*Tabelle211[[#This Row],[Entfernung (km) gesamt]],0)</f>
        <v>0</v>
      </c>
      <c r="M13">
        <f>IF(Tabelle211[[#This Row],[Verkehrsmittel]]="PKW",Tabelle211[[#This Row],[Anzahl Studierende ]]*Tabelle211[[#This Row],[Entfernung (km) gesamt]],0)</f>
        <v>0</v>
      </c>
      <c r="N13">
        <f>IF(Tabelle211[[#This Row],[Verkehrsmittel]]="Flug", IF(AND(Tabelle211[[#This Row],[Entfernung (km) einfach]]&lt;500),Tabelle211[[#This Row],[Entfernung (km) gesamt]]), 0)*Tabelle211[[#This Row],[Anzahl Studierende ]]</f>
        <v>0</v>
      </c>
      <c r="O13">
        <f>IF(Tabelle211[[#This Row],[Verkehrsmittel]]="Flug", IF(AND(Tabelle211[[#This Row],[Entfernung (km) einfach]]&gt;500,Tabelle211[[#This Row],[Entfernung (km) einfach]]&lt;1000),Tabelle211[[#This Row],[Entfernung (km) gesamt]], 0), 0)*Tabelle211[[#This Row],[Anzahl Studierende ]]</f>
        <v>0</v>
      </c>
      <c r="P13">
        <f>IF(Tabelle211[[#This Row],[Verkehrsmittel]]="Flug", IF(AND(Tabelle211[[#This Row],[Entfernung (km) einfach]]&gt;1000,Tabelle211[[#This Row],[Entfernung (km) einfach]]&lt;2000),Tabelle211[[#This Row],[Entfernung (km) gesamt]], 0), 0)*Tabelle211[[#This Row],[Anzahl Studierende ]]</f>
        <v>0</v>
      </c>
      <c r="Q13">
        <f>IF(Tabelle211[[#This Row],[Verkehrsmittel]]="Flug", IF(AND(Tabelle211[[#This Row],[Entfernung (km) einfach]]&gt;2000,Tabelle211[[#This Row],[Entfernung (km) einfach]]&lt;5000),Tabelle211[[#This Row],[Entfernung (km) gesamt]], 0), 0)*Tabelle211[[#This Row],[Anzahl Studierende ]]</f>
        <v>0</v>
      </c>
      <c r="R13">
        <f>IF(Tabelle211[[#This Row],[Verkehrsmittel]]="Flug", IF(AND(Tabelle211[[#This Row],[Entfernung (km) einfach]]&gt;5000,Tabelle211[[#This Row],[Entfernung (km) einfach]]&lt;10000),Tabelle211[[#This Row],[Entfernung (km) gesamt]], 0), 0)*Tabelle211[[#This Row],[Anzahl Studierende ]]</f>
        <v>0</v>
      </c>
      <c r="S13">
        <f>IF(Tabelle211[[#This Row],[Verkehrsmittel]]="Flug", IF(AND(Tabelle211[[#This Row],[Entfernung (km) einfach]]&gt;10000),Tabelle211[[#This Row],[Entfernung (km) gesamt]]), 0)*Tabelle211[[#This Row],[Anzahl Studierende ]]</f>
        <v>0</v>
      </c>
      <c r="T13">
        <f>IF(Tabelle211[[#This Row],[Verkehrsmittel]]="Motorrad",Tabelle211[[#This Row],[Entfernung (km) gesamt]],0)*Tabelle211[[#This Row],[Anzahl Studierende ]]</f>
        <v>0</v>
      </c>
      <c r="U13">
        <f>IF(Tabelle211[[#This Row],[Verkehrsmittel]]="Straßen-, S-, U-Bahn",Tabelle211[[#This Row],[Entfernung (km) gesamt]],0)*Tabelle211[[#This Row],[Anzahl Studierende ]]</f>
        <v>0</v>
      </c>
      <c r="V13">
        <f>IF(Tabelle211[[#This Row],[Verkehrsmittel]]="Fahrrad",Tabelle211[[#This Row],[Entfernung (km) gesamt]],0)*Tabelle211[[#This Row],[Anzahl Studierende ]]</f>
        <v>0</v>
      </c>
    </row>
    <row r="14" spans="1:22">
      <c r="B14" s="159"/>
      <c r="C14" s="111"/>
      <c r="D14" s="160"/>
      <c r="E14" s="111"/>
      <c r="F14" s="111"/>
      <c r="G14" s="111"/>
      <c r="H14" s="111">
        <f>Tabelle211[[#This Row],[Entfernung (km) einfach]]*2</f>
        <v>0</v>
      </c>
      <c r="I14" s="111"/>
      <c r="J14" s="140"/>
      <c r="K14">
        <f>IF(Tabelle211[[#This Row],[Verkehrsmittel]]="Bus",Tabelle211[[#This Row],[Entfernung (km) gesamt]],0)*Tabelle211[[#This Row],[Anzahl Studierende ]]</f>
        <v>0</v>
      </c>
      <c r="L14">
        <f>IF(Tabelle211[[#This Row],[Verkehrsmittel]]="Bahn",Tabelle211[[#This Row],[Anzahl Studierende ]]*Tabelle211[[#This Row],[Entfernung (km) gesamt]],0)</f>
        <v>0</v>
      </c>
      <c r="M14">
        <f>IF(Tabelle211[[#This Row],[Verkehrsmittel]]="PKW",Tabelle211[[#This Row],[Anzahl Studierende ]]*Tabelle211[[#This Row],[Entfernung (km) gesamt]],0)</f>
        <v>0</v>
      </c>
      <c r="N14">
        <f>IF(Tabelle211[[#This Row],[Verkehrsmittel]]="Flug", IF(AND(Tabelle211[[#This Row],[Entfernung (km) einfach]]&lt;500),Tabelle211[[#This Row],[Entfernung (km) gesamt]]), 0)*Tabelle211[[#This Row],[Anzahl Studierende ]]</f>
        <v>0</v>
      </c>
      <c r="O14">
        <f>IF(Tabelle211[[#This Row],[Verkehrsmittel]]="Flug", IF(AND(Tabelle211[[#This Row],[Entfernung (km) einfach]]&gt;500,Tabelle211[[#This Row],[Entfernung (km) einfach]]&lt;1000),Tabelle211[[#This Row],[Entfernung (km) gesamt]], 0), 0)*Tabelle211[[#This Row],[Anzahl Studierende ]]</f>
        <v>0</v>
      </c>
      <c r="P14">
        <f>IF(Tabelle211[[#This Row],[Verkehrsmittel]]="Flug", IF(AND(Tabelle211[[#This Row],[Entfernung (km) einfach]]&gt;1000,Tabelle211[[#This Row],[Entfernung (km) einfach]]&lt;2000),Tabelle211[[#This Row],[Entfernung (km) gesamt]], 0), 0)*Tabelle211[[#This Row],[Anzahl Studierende ]]</f>
        <v>0</v>
      </c>
      <c r="Q14">
        <f>IF(Tabelle211[[#This Row],[Verkehrsmittel]]="Flug", IF(AND(Tabelle211[[#This Row],[Entfernung (km) einfach]]&gt;2000,Tabelle211[[#This Row],[Entfernung (km) einfach]]&lt;5000),Tabelle211[[#This Row],[Entfernung (km) gesamt]], 0), 0)*Tabelle211[[#This Row],[Anzahl Studierende ]]</f>
        <v>0</v>
      </c>
      <c r="R14">
        <f>IF(Tabelle211[[#This Row],[Verkehrsmittel]]="Flug", IF(AND(Tabelle211[[#This Row],[Entfernung (km) einfach]]&gt;5000,Tabelle211[[#This Row],[Entfernung (km) einfach]]&lt;10000),Tabelle211[[#This Row],[Entfernung (km) gesamt]], 0), 0)*Tabelle211[[#This Row],[Anzahl Studierende ]]</f>
        <v>0</v>
      </c>
      <c r="S14">
        <f>IF(Tabelle211[[#This Row],[Verkehrsmittel]]="Flug", IF(AND(Tabelle211[[#This Row],[Entfernung (km) einfach]]&gt;10000),Tabelle211[[#This Row],[Entfernung (km) gesamt]]), 0)*Tabelle211[[#This Row],[Anzahl Studierende ]]</f>
        <v>0</v>
      </c>
      <c r="T14">
        <f>IF(Tabelle211[[#This Row],[Verkehrsmittel]]="Motorrad",Tabelle211[[#This Row],[Entfernung (km) gesamt]],0)*Tabelle211[[#This Row],[Anzahl Studierende ]]</f>
        <v>0</v>
      </c>
      <c r="U14">
        <f>IF(Tabelle211[[#This Row],[Verkehrsmittel]]="Straßen-, S-, U-Bahn",Tabelle211[[#This Row],[Entfernung (km) gesamt]],0)*Tabelle211[[#This Row],[Anzahl Studierende ]]</f>
        <v>0</v>
      </c>
      <c r="V14">
        <f>IF(Tabelle211[[#This Row],[Verkehrsmittel]]="Fahrrad",Tabelle211[[#This Row],[Entfernung (km) gesamt]],0)*Tabelle211[[#This Row],[Anzahl Studierende ]]</f>
        <v>0</v>
      </c>
    </row>
    <row r="15" spans="1:22">
      <c r="B15" s="159"/>
      <c r="C15" s="111"/>
      <c r="D15" s="160"/>
      <c r="E15" s="111"/>
      <c r="F15" s="111"/>
      <c r="G15" s="111"/>
      <c r="H15" s="111">
        <f>Tabelle211[[#This Row],[Entfernung (km) einfach]]*2</f>
        <v>0</v>
      </c>
      <c r="I15" s="111"/>
      <c r="J15" s="140"/>
      <c r="K15">
        <f>IF(Tabelle211[[#This Row],[Verkehrsmittel]]="Bus",Tabelle211[[#This Row],[Entfernung (km) gesamt]],0)*Tabelle211[[#This Row],[Anzahl Studierende ]]</f>
        <v>0</v>
      </c>
      <c r="L15">
        <f>IF(Tabelle211[[#This Row],[Verkehrsmittel]]="Bahn",Tabelle211[[#This Row],[Anzahl Studierende ]]*Tabelle211[[#This Row],[Entfernung (km) gesamt]],0)</f>
        <v>0</v>
      </c>
      <c r="M15">
        <f>IF(Tabelle211[[#This Row],[Verkehrsmittel]]="PKW",Tabelle211[[#This Row],[Anzahl Studierende ]]*Tabelle211[[#This Row],[Entfernung (km) gesamt]],0)</f>
        <v>0</v>
      </c>
      <c r="N15">
        <f>IF(Tabelle211[[#This Row],[Verkehrsmittel]]="Flug", IF(AND(Tabelle211[[#This Row],[Entfernung (km) einfach]]&lt;500),Tabelle211[[#This Row],[Entfernung (km) gesamt]]), 0)*Tabelle211[[#This Row],[Anzahl Studierende ]]</f>
        <v>0</v>
      </c>
      <c r="O15">
        <f>IF(Tabelle211[[#This Row],[Verkehrsmittel]]="Flug", IF(AND(Tabelle211[[#This Row],[Entfernung (km) einfach]]&gt;500,Tabelle211[[#This Row],[Entfernung (km) einfach]]&lt;1000),Tabelle211[[#This Row],[Entfernung (km) gesamt]], 0), 0)*Tabelle211[[#This Row],[Anzahl Studierende ]]</f>
        <v>0</v>
      </c>
      <c r="P15">
        <f>IF(Tabelle211[[#This Row],[Verkehrsmittel]]="Flug", IF(AND(Tabelle211[[#This Row],[Entfernung (km) einfach]]&gt;1000,Tabelle211[[#This Row],[Entfernung (km) einfach]]&lt;2000),Tabelle211[[#This Row],[Entfernung (km) gesamt]], 0), 0)*Tabelle211[[#This Row],[Anzahl Studierende ]]</f>
        <v>0</v>
      </c>
      <c r="Q15">
        <f>IF(Tabelle211[[#This Row],[Verkehrsmittel]]="Flug", IF(AND(Tabelle211[[#This Row],[Entfernung (km) einfach]]&gt;2000,Tabelle211[[#This Row],[Entfernung (km) einfach]]&lt;5000),Tabelle211[[#This Row],[Entfernung (km) gesamt]], 0), 0)*Tabelle211[[#This Row],[Anzahl Studierende ]]</f>
        <v>0</v>
      </c>
      <c r="R15">
        <f>IF(Tabelle211[[#This Row],[Verkehrsmittel]]="Flug", IF(AND(Tabelle211[[#This Row],[Entfernung (km) einfach]]&gt;5000,Tabelle211[[#This Row],[Entfernung (km) einfach]]&lt;10000),Tabelle211[[#This Row],[Entfernung (km) gesamt]], 0), 0)*Tabelle211[[#This Row],[Anzahl Studierende ]]</f>
        <v>0</v>
      </c>
      <c r="S15">
        <f>IF(Tabelle211[[#This Row],[Verkehrsmittel]]="Flug", IF(AND(Tabelle211[[#This Row],[Entfernung (km) einfach]]&gt;10000),Tabelle211[[#This Row],[Entfernung (km) gesamt]]), 0)*Tabelle211[[#This Row],[Anzahl Studierende ]]</f>
        <v>0</v>
      </c>
      <c r="T15">
        <f>IF(Tabelle211[[#This Row],[Verkehrsmittel]]="Motorrad",Tabelle211[[#This Row],[Entfernung (km) gesamt]],0)*Tabelle211[[#This Row],[Anzahl Studierende ]]</f>
        <v>0</v>
      </c>
      <c r="U15">
        <f>IF(Tabelle211[[#This Row],[Verkehrsmittel]]="Straßen-, S-, U-Bahn",Tabelle211[[#This Row],[Entfernung (km) gesamt]],0)*Tabelle211[[#This Row],[Anzahl Studierende ]]</f>
        <v>0</v>
      </c>
      <c r="V15">
        <f>IF(Tabelle211[[#This Row],[Verkehrsmittel]]="Fahrrad",Tabelle211[[#This Row],[Entfernung (km) gesamt]],0)*Tabelle211[[#This Row],[Anzahl Studierende ]]</f>
        <v>0</v>
      </c>
    </row>
    <row r="16" spans="1:22">
      <c r="B16" s="159"/>
      <c r="C16" s="111"/>
      <c r="D16" s="160"/>
      <c r="E16" s="111"/>
      <c r="F16" s="111"/>
      <c r="G16" s="111"/>
      <c r="H16" s="111">
        <f>Tabelle211[[#This Row],[Entfernung (km) einfach]]*2</f>
        <v>0</v>
      </c>
      <c r="I16" s="111"/>
      <c r="J16" s="140"/>
      <c r="K16">
        <f>IF(Tabelle211[[#This Row],[Verkehrsmittel]]="Bus",Tabelle211[[#This Row],[Entfernung (km) gesamt]],0)*Tabelle211[[#This Row],[Anzahl Studierende ]]</f>
        <v>0</v>
      </c>
      <c r="L16">
        <f>IF(Tabelle211[[#This Row],[Verkehrsmittel]]="Bahn",Tabelle211[[#This Row],[Anzahl Studierende ]]*Tabelle211[[#This Row],[Entfernung (km) gesamt]],0)</f>
        <v>0</v>
      </c>
      <c r="M16">
        <f>IF(Tabelle211[[#This Row],[Verkehrsmittel]]="PKW",Tabelle211[[#This Row],[Anzahl Studierende ]]*Tabelle211[[#This Row],[Entfernung (km) gesamt]],0)</f>
        <v>0</v>
      </c>
      <c r="N16">
        <f>IF(Tabelle211[[#This Row],[Verkehrsmittel]]="Flug", IF(AND(Tabelle211[[#This Row],[Entfernung (km) einfach]]&lt;500),Tabelle211[[#This Row],[Entfernung (km) gesamt]]), 0)*Tabelle211[[#This Row],[Anzahl Studierende ]]</f>
        <v>0</v>
      </c>
      <c r="O16">
        <f>IF(Tabelle211[[#This Row],[Verkehrsmittel]]="Flug", IF(AND(Tabelle211[[#This Row],[Entfernung (km) einfach]]&gt;500,Tabelle211[[#This Row],[Entfernung (km) einfach]]&lt;1000),Tabelle211[[#This Row],[Entfernung (km) gesamt]], 0), 0)*Tabelle211[[#This Row],[Anzahl Studierende ]]</f>
        <v>0</v>
      </c>
      <c r="P16">
        <f>IF(Tabelle211[[#This Row],[Verkehrsmittel]]="Flug", IF(AND(Tabelle211[[#This Row],[Entfernung (km) einfach]]&gt;1000,Tabelle211[[#This Row],[Entfernung (km) einfach]]&lt;2000),Tabelle211[[#This Row],[Entfernung (km) gesamt]], 0), 0)*Tabelle211[[#This Row],[Anzahl Studierende ]]</f>
        <v>0</v>
      </c>
      <c r="Q16">
        <f>IF(Tabelle211[[#This Row],[Verkehrsmittel]]="Flug", IF(AND(Tabelle211[[#This Row],[Entfernung (km) einfach]]&gt;2000,Tabelle211[[#This Row],[Entfernung (km) einfach]]&lt;5000),Tabelle211[[#This Row],[Entfernung (km) gesamt]], 0), 0)*Tabelle211[[#This Row],[Anzahl Studierende ]]</f>
        <v>0</v>
      </c>
      <c r="R16">
        <f>IF(Tabelle211[[#This Row],[Verkehrsmittel]]="Flug", IF(AND(Tabelle211[[#This Row],[Entfernung (km) einfach]]&gt;5000,Tabelle211[[#This Row],[Entfernung (km) einfach]]&lt;10000),Tabelle211[[#This Row],[Entfernung (km) gesamt]], 0), 0)*Tabelle211[[#This Row],[Anzahl Studierende ]]</f>
        <v>0</v>
      </c>
      <c r="S16">
        <f>IF(Tabelle211[[#This Row],[Verkehrsmittel]]="Flug", IF(AND(Tabelle211[[#This Row],[Entfernung (km) einfach]]&gt;10000),Tabelle211[[#This Row],[Entfernung (km) gesamt]]), 0)*Tabelle211[[#This Row],[Anzahl Studierende ]]</f>
        <v>0</v>
      </c>
      <c r="T16">
        <f>IF(Tabelle211[[#This Row],[Verkehrsmittel]]="Motorrad",Tabelle211[[#This Row],[Entfernung (km) gesamt]],0)*Tabelle211[[#This Row],[Anzahl Studierende ]]</f>
        <v>0</v>
      </c>
      <c r="U16">
        <f>IF(Tabelle211[[#This Row],[Verkehrsmittel]]="Straßen-, S-, U-Bahn",Tabelle211[[#This Row],[Entfernung (km) gesamt]],0)*Tabelle211[[#This Row],[Anzahl Studierende ]]</f>
        <v>0</v>
      </c>
      <c r="V16">
        <f>IF(Tabelle211[[#This Row],[Verkehrsmittel]]="Fahrrad",Tabelle211[[#This Row],[Entfernung (km) gesamt]],0)*Tabelle211[[#This Row],[Anzahl Studierende ]]</f>
        <v>0</v>
      </c>
    </row>
    <row r="17" spans="2:22" ht="15.6">
      <c r="B17" s="159"/>
      <c r="C17" s="111"/>
      <c r="D17" s="160"/>
      <c r="E17" s="111"/>
      <c r="F17" s="111"/>
      <c r="G17" s="111"/>
      <c r="H17" s="111">
        <f>Tabelle211[[#This Row],[Entfernung (km) einfach]]*2</f>
        <v>0</v>
      </c>
      <c r="I17" s="111"/>
      <c r="J17" s="140"/>
      <c r="K17" s="6">
        <f>IF(Tabelle211[[#This Row],[Verkehrsmittel]]="Bus",Tabelle211[[#This Row],[Entfernung (km) gesamt]],0)*Tabelle211[[#This Row],[Anzahl Studierende ]]</f>
        <v>0</v>
      </c>
      <c r="L17" s="6">
        <f>IF(Tabelle211[[#This Row],[Verkehrsmittel]]="Bahn",Tabelle211[[#This Row],[Anzahl Studierende ]]*Tabelle211[[#This Row],[Entfernung (km) gesamt]],0)</f>
        <v>0</v>
      </c>
      <c r="M17" s="6">
        <f>IF(Tabelle211[[#This Row],[Verkehrsmittel]]="PKW",Tabelle211[[#This Row],[Anzahl Studierende ]]*Tabelle211[[#This Row],[Entfernung (km) gesamt]],0)</f>
        <v>0</v>
      </c>
      <c r="N17" s="7">
        <f>IF(Tabelle211[[#This Row],[Verkehrsmittel]]="Flug", IF(AND(Tabelle211[[#This Row],[Entfernung (km) einfach]]&lt;500),Tabelle211[[#This Row],[Entfernung (km) gesamt]]), 0)*Tabelle211[[#This Row],[Anzahl Studierende ]]</f>
        <v>0</v>
      </c>
      <c r="O17" s="7">
        <f>IF(Tabelle211[[#This Row],[Verkehrsmittel]]="Flug", IF(AND(Tabelle211[[#This Row],[Entfernung (km) einfach]]&gt;500,Tabelle211[[#This Row],[Entfernung (km) einfach]]&lt;1000),Tabelle211[[#This Row],[Entfernung (km) gesamt]], 0), 0)*Tabelle211[[#This Row],[Anzahl Studierende ]]</f>
        <v>0</v>
      </c>
      <c r="P17" s="7">
        <f>IF(Tabelle211[[#This Row],[Verkehrsmittel]]="Flug", IF(AND(Tabelle211[[#This Row],[Entfernung (km) einfach]]&gt;1000,Tabelle211[[#This Row],[Entfernung (km) einfach]]&lt;2000),Tabelle211[[#This Row],[Entfernung (km) gesamt]], 0), 0)*Tabelle211[[#This Row],[Anzahl Studierende ]]</f>
        <v>0</v>
      </c>
      <c r="Q17" s="7">
        <f>IF(Tabelle211[[#This Row],[Verkehrsmittel]]="Flug", IF(AND(Tabelle211[[#This Row],[Entfernung (km) einfach]]&gt;2000,Tabelle211[[#This Row],[Entfernung (km) einfach]]&lt;5000),Tabelle211[[#This Row],[Entfernung (km) gesamt]], 0), 0)*Tabelle211[[#This Row],[Anzahl Studierende ]]</f>
        <v>0</v>
      </c>
      <c r="R17" s="7">
        <f>IF(Tabelle211[[#This Row],[Verkehrsmittel]]="Flug", IF(AND(Tabelle211[[#This Row],[Entfernung (km) einfach]]&gt;5000,Tabelle211[[#This Row],[Entfernung (km) einfach]]&lt;10000),Tabelle211[[#This Row],[Entfernung (km) gesamt]], 0), 0)*Tabelle211[[#This Row],[Anzahl Studierende ]]</f>
        <v>0</v>
      </c>
      <c r="S17">
        <f>IF(Tabelle211[[#This Row],[Verkehrsmittel]]="Flug", IF(AND(Tabelle211[[#This Row],[Entfernung (km) einfach]]&gt;10000),Tabelle211[[#This Row],[Entfernung (km) gesamt]]), 0)*Tabelle211[[#This Row],[Anzahl Studierende ]]</f>
        <v>0</v>
      </c>
      <c r="T17">
        <f>IF(Tabelle211[[#This Row],[Verkehrsmittel]]="Motorrad",Tabelle211[[#This Row],[Entfernung (km) gesamt]],0)*Tabelle211[[#This Row],[Anzahl Studierende ]]</f>
        <v>0</v>
      </c>
      <c r="U17">
        <f>IF(Tabelle211[[#This Row],[Verkehrsmittel]]="Straßen-, S-, U-Bahn",Tabelle211[[#This Row],[Entfernung (km) gesamt]],0)*Tabelle211[[#This Row],[Anzahl Studierende ]]</f>
        <v>0</v>
      </c>
      <c r="V17">
        <f>IF(Tabelle211[[#This Row],[Verkehrsmittel]]="Fahrrad",Tabelle211[[#This Row],[Entfernung (km) gesamt]],0)*Tabelle211[[#This Row],[Anzahl Studierende ]]</f>
        <v>0</v>
      </c>
    </row>
    <row r="18" spans="2:22" ht="15.6">
      <c r="B18" s="159"/>
      <c r="C18" s="111"/>
      <c r="D18" s="160"/>
      <c r="E18" s="111"/>
      <c r="F18" s="111"/>
      <c r="G18" s="111"/>
      <c r="H18" s="111">
        <f>Tabelle211[[#This Row],[Entfernung (km) einfach]]*2</f>
        <v>0</v>
      </c>
      <c r="I18" s="111"/>
      <c r="J18" s="140"/>
      <c r="K18" s="6">
        <f>IF(Tabelle211[[#This Row],[Verkehrsmittel]]="Bus",Tabelle211[[#This Row],[Entfernung (km) gesamt]],0)*Tabelle211[[#This Row],[Anzahl Studierende ]]</f>
        <v>0</v>
      </c>
      <c r="L18" s="7">
        <f>IF(Tabelle211[[#This Row],[Verkehrsmittel]]="Bahn",Tabelle211[[#This Row],[Anzahl Studierende ]]*Tabelle211[[#This Row],[Entfernung (km) gesamt]],0)</f>
        <v>0</v>
      </c>
      <c r="M18" s="6">
        <f>IF(Tabelle211[[#This Row],[Verkehrsmittel]]="PKW",Tabelle211[[#This Row],[Anzahl Studierende ]]*Tabelle211[[#This Row],[Entfernung (km) gesamt]],0)</f>
        <v>0</v>
      </c>
      <c r="N18" s="7">
        <f>IF(Tabelle211[[#This Row],[Verkehrsmittel]]="Flug", IF(AND(Tabelle211[[#This Row],[Entfernung (km) einfach]]&lt;500),Tabelle211[[#This Row],[Entfernung (km) gesamt]]), 0)*Tabelle211[[#This Row],[Anzahl Studierende ]]</f>
        <v>0</v>
      </c>
      <c r="O18" s="7">
        <f>IF(Tabelle211[[#This Row],[Verkehrsmittel]]="Flug", IF(AND(Tabelle211[[#This Row],[Entfernung (km) einfach]]&gt;500,Tabelle211[[#This Row],[Entfernung (km) einfach]]&lt;1000),Tabelle211[[#This Row],[Entfernung (km) gesamt]], 0), 0)*Tabelle211[[#This Row],[Anzahl Studierende ]]</f>
        <v>0</v>
      </c>
      <c r="P18" s="7">
        <f>IF(Tabelle211[[#This Row],[Verkehrsmittel]]="Flug", IF(AND(Tabelle211[[#This Row],[Entfernung (km) einfach]]&gt;1000,Tabelle211[[#This Row],[Entfernung (km) einfach]]&lt;2000),Tabelle211[[#This Row],[Entfernung (km) gesamt]], 0), 0)*Tabelle211[[#This Row],[Anzahl Studierende ]]</f>
        <v>0</v>
      </c>
      <c r="Q18" s="7">
        <f>IF(Tabelle211[[#This Row],[Verkehrsmittel]]="Flug", IF(AND(Tabelle211[[#This Row],[Entfernung (km) einfach]]&gt;2000,Tabelle211[[#This Row],[Entfernung (km) einfach]]&lt;5000),Tabelle211[[#This Row],[Entfernung (km) gesamt]], 0), 0)*Tabelle211[[#This Row],[Anzahl Studierende ]]</f>
        <v>0</v>
      </c>
      <c r="R18" s="7">
        <f>IF(Tabelle211[[#This Row],[Verkehrsmittel]]="Flug", IF(AND(Tabelle211[[#This Row],[Entfernung (km) einfach]]&gt;5000,Tabelle211[[#This Row],[Entfernung (km) einfach]]&lt;10000),Tabelle211[[#This Row],[Entfernung (km) gesamt]], 0), 0)*Tabelle211[[#This Row],[Anzahl Studierende ]]</f>
        <v>0</v>
      </c>
      <c r="S18">
        <f>IF(Tabelle211[[#This Row],[Verkehrsmittel]]="Flug", IF(AND(Tabelle211[[#This Row],[Entfernung (km) einfach]]&gt;10000),Tabelle211[[#This Row],[Entfernung (km) gesamt]]), 0)*Tabelle211[[#This Row],[Anzahl Studierende ]]</f>
        <v>0</v>
      </c>
      <c r="T18">
        <f>IF(Tabelle211[[#This Row],[Verkehrsmittel]]="Motorrad",Tabelle211[[#This Row],[Entfernung (km) gesamt]],0)*Tabelle211[[#This Row],[Anzahl Studierende ]]</f>
        <v>0</v>
      </c>
      <c r="U18">
        <f>IF(Tabelle211[[#This Row],[Verkehrsmittel]]="Straßen-, S-, U-Bahn",Tabelle211[[#This Row],[Entfernung (km) gesamt]],0)*Tabelle211[[#This Row],[Anzahl Studierende ]]</f>
        <v>0</v>
      </c>
      <c r="V18">
        <f>IF(Tabelle211[[#This Row],[Verkehrsmittel]]="Fahrrad",Tabelle211[[#This Row],[Entfernung (km) gesamt]],0)*Tabelle211[[#This Row],[Anzahl Studierende ]]</f>
        <v>0</v>
      </c>
    </row>
    <row r="19" spans="2:22" ht="15.6">
      <c r="B19" s="159"/>
      <c r="C19" s="111"/>
      <c r="D19" s="160"/>
      <c r="E19" s="111"/>
      <c r="F19" s="111"/>
      <c r="G19" s="111"/>
      <c r="H19" s="111">
        <f>Tabelle211[[#This Row],[Entfernung (km) einfach]]*2</f>
        <v>0</v>
      </c>
      <c r="I19" s="111"/>
      <c r="J19" s="140"/>
      <c r="K19" s="6">
        <f>IF(Tabelle211[[#This Row],[Verkehrsmittel]]="Bus",Tabelle211[[#This Row],[Entfernung (km) gesamt]],0)*Tabelle211[[#This Row],[Anzahl Studierende ]]</f>
        <v>0</v>
      </c>
      <c r="L19" s="7">
        <f>IF(Tabelle211[[#This Row],[Verkehrsmittel]]="Bahn",Tabelle211[[#This Row],[Anzahl Studierende ]]*Tabelle211[[#This Row],[Entfernung (km) gesamt]],0)</f>
        <v>0</v>
      </c>
      <c r="M19" s="6">
        <f>IF(Tabelle211[[#This Row],[Verkehrsmittel]]="PKW",Tabelle211[[#This Row],[Anzahl Studierende ]]*Tabelle211[[#This Row],[Entfernung (km) gesamt]],0)</f>
        <v>0</v>
      </c>
      <c r="N19" s="7">
        <f>IF(Tabelle211[[#This Row],[Verkehrsmittel]]="Flug", IF(AND(Tabelle211[[#This Row],[Entfernung (km) einfach]]&lt;500),Tabelle211[[#This Row],[Entfernung (km) gesamt]]), 0)*Tabelle211[[#This Row],[Anzahl Studierende ]]</f>
        <v>0</v>
      </c>
      <c r="O19" s="7">
        <f>IF(Tabelle211[[#This Row],[Verkehrsmittel]]="Flug", IF(AND(Tabelle211[[#This Row],[Entfernung (km) einfach]]&gt;500,Tabelle211[[#This Row],[Entfernung (km) einfach]]&lt;1000),Tabelle211[[#This Row],[Entfernung (km) gesamt]], 0), 0)*Tabelle211[[#This Row],[Anzahl Studierende ]]</f>
        <v>0</v>
      </c>
      <c r="P19" s="7">
        <f>IF(Tabelle211[[#This Row],[Verkehrsmittel]]="Flug", IF(AND(Tabelle211[[#This Row],[Entfernung (km) einfach]]&gt;1000,Tabelle211[[#This Row],[Entfernung (km) einfach]]&lt;2000),Tabelle211[[#This Row],[Entfernung (km) gesamt]], 0), 0)*Tabelle211[[#This Row],[Anzahl Studierende ]]</f>
        <v>0</v>
      </c>
      <c r="Q19" s="7">
        <f>IF(Tabelle211[[#This Row],[Verkehrsmittel]]="Flug", IF(AND(Tabelle211[[#This Row],[Entfernung (km) einfach]]&gt;2000,Tabelle211[[#This Row],[Entfernung (km) einfach]]&lt;5000),Tabelle211[[#This Row],[Entfernung (km) gesamt]], 0), 0)*Tabelle211[[#This Row],[Anzahl Studierende ]]</f>
        <v>0</v>
      </c>
      <c r="R19" s="7">
        <f>IF(Tabelle211[[#This Row],[Verkehrsmittel]]="Flug", IF(AND(Tabelle211[[#This Row],[Entfernung (km) einfach]]&gt;5000,Tabelle211[[#This Row],[Entfernung (km) einfach]]&lt;10000),Tabelle211[[#This Row],[Entfernung (km) gesamt]], 0), 0)*Tabelle211[[#This Row],[Anzahl Studierende ]]</f>
        <v>0</v>
      </c>
      <c r="S19">
        <f>IF(Tabelle211[[#This Row],[Verkehrsmittel]]="Flug", IF(AND(Tabelle211[[#This Row],[Entfernung (km) einfach]]&gt;10000),Tabelle211[[#This Row],[Entfernung (km) gesamt]]), 0)*Tabelle211[[#This Row],[Anzahl Studierende ]]</f>
        <v>0</v>
      </c>
      <c r="T19">
        <f>IF(Tabelle211[[#This Row],[Verkehrsmittel]]="Motorrad",Tabelle211[[#This Row],[Entfernung (km) gesamt]],0)*Tabelle211[[#This Row],[Anzahl Studierende ]]</f>
        <v>0</v>
      </c>
      <c r="U19">
        <f>IF(Tabelle211[[#This Row],[Verkehrsmittel]]="Straßen-, S-, U-Bahn",Tabelle211[[#This Row],[Entfernung (km) gesamt]],0)*Tabelle211[[#This Row],[Anzahl Studierende ]]</f>
        <v>0</v>
      </c>
      <c r="V19">
        <f>IF(Tabelle211[[#This Row],[Verkehrsmittel]]="Fahrrad",Tabelle211[[#This Row],[Entfernung (km) gesamt]],0)*Tabelle211[[#This Row],[Anzahl Studierende ]]</f>
        <v>0</v>
      </c>
    </row>
    <row r="20" spans="2:22" ht="15.6">
      <c r="B20" s="138"/>
      <c r="C20" s="139"/>
      <c r="D20" s="160"/>
      <c r="E20" s="111"/>
      <c r="F20" s="111"/>
      <c r="G20" s="111"/>
      <c r="H20" s="111">
        <f>Tabelle211[[#This Row],[Entfernung (km) einfach]]*2</f>
        <v>0</v>
      </c>
      <c r="I20" s="111"/>
      <c r="J20" s="140"/>
      <c r="K20" s="6">
        <f>IF(Tabelle211[[#This Row],[Verkehrsmittel]]="Bus",Tabelle211[[#This Row],[Entfernung (km) gesamt]],0)*Tabelle211[[#This Row],[Anzahl Studierende ]]</f>
        <v>0</v>
      </c>
      <c r="L20" s="7">
        <f>IF(Tabelle211[[#This Row],[Verkehrsmittel]]="Bahn",Tabelle211[[#This Row],[Anzahl Studierende ]]*Tabelle211[[#This Row],[Entfernung (km) gesamt]],0)</f>
        <v>0</v>
      </c>
      <c r="M20" s="6">
        <f>IF(Tabelle211[[#This Row],[Verkehrsmittel]]="PKW",Tabelle211[[#This Row],[Anzahl Studierende ]]*Tabelle211[[#This Row],[Entfernung (km) gesamt]],0)</f>
        <v>0</v>
      </c>
      <c r="N20" s="7">
        <f>IF(Tabelle211[[#This Row],[Verkehrsmittel]]="Flug", IF(AND(Tabelle211[[#This Row],[Entfernung (km) einfach]]&lt;500),Tabelle211[[#This Row],[Entfernung (km) gesamt]]), 0)*Tabelle211[[#This Row],[Anzahl Studierende ]]</f>
        <v>0</v>
      </c>
      <c r="O20" s="7">
        <f>IF(Tabelle211[[#This Row],[Verkehrsmittel]]="Flug", IF(AND(Tabelle211[[#This Row],[Entfernung (km) einfach]]&gt;500,Tabelle211[[#This Row],[Entfernung (km) einfach]]&lt;1000),Tabelle211[[#This Row],[Entfernung (km) gesamt]], 0), 0)*Tabelle211[[#This Row],[Anzahl Studierende ]]</f>
        <v>0</v>
      </c>
      <c r="P20" s="7">
        <f>IF(Tabelle211[[#This Row],[Verkehrsmittel]]="Flug", IF(AND(Tabelle211[[#This Row],[Entfernung (km) einfach]]&gt;1000,Tabelle211[[#This Row],[Entfernung (km) einfach]]&lt;2000),Tabelle211[[#This Row],[Entfernung (km) gesamt]], 0), 0)*Tabelle211[[#This Row],[Anzahl Studierende ]]</f>
        <v>0</v>
      </c>
      <c r="Q20" s="7">
        <f>IF(Tabelle211[[#This Row],[Verkehrsmittel]]="Flug", IF(AND(Tabelle211[[#This Row],[Entfernung (km) einfach]]&gt;2000,Tabelle211[[#This Row],[Entfernung (km) einfach]]&lt;5000),Tabelle211[[#This Row],[Entfernung (km) gesamt]], 0), 0)*Tabelle211[[#This Row],[Anzahl Studierende ]]</f>
        <v>0</v>
      </c>
      <c r="R20" s="7">
        <f>IF(Tabelle211[[#This Row],[Verkehrsmittel]]="Flug", IF(AND(Tabelle211[[#This Row],[Entfernung (km) einfach]]&gt;5000,Tabelle211[[#This Row],[Entfernung (km) einfach]]&lt;10000),Tabelle211[[#This Row],[Entfernung (km) gesamt]], 0), 0)*Tabelle211[[#This Row],[Anzahl Studierende ]]</f>
        <v>0</v>
      </c>
      <c r="S20">
        <f>IF(Tabelle211[[#This Row],[Verkehrsmittel]]="Flug", IF(AND(Tabelle211[[#This Row],[Entfernung (km) einfach]]&gt;10000),Tabelle211[[#This Row],[Entfernung (km) gesamt]]), 0)*Tabelle211[[#This Row],[Anzahl Studierende ]]</f>
        <v>0</v>
      </c>
      <c r="T20">
        <f>IF(Tabelle211[[#This Row],[Verkehrsmittel]]="Motorrad",Tabelle211[[#This Row],[Entfernung (km) gesamt]],0)*Tabelle211[[#This Row],[Anzahl Studierende ]]</f>
        <v>0</v>
      </c>
      <c r="U20">
        <f>IF(Tabelle211[[#This Row],[Verkehrsmittel]]="Straßen-, S-, U-Bahn",Tabelle211[[#This Row],[Entfernung (km) gesamt]],0)*Tabelle211[[#This Row],[Anzahl Studierende ]]</f>
        <v>0</v>
      </c>
      <c r="V20">
        <f>IF(Tabelle211[[#This Row],[Verkehrsmittel]]="Fahrrad",Tabelle211[[#This Row],[Entfernung (km) gesamt]],0)*Tabelle211[[#This Row],[Anzahl Studierende ]]</f>
        <v>0</v>
      </c>
    </row>
    <row r="21" spans="2:22" ht="15.6">
      <c r="B21" s="138"/>
      <c r="C21" s="139"/>
      <c r="D21" s="160"/>
      <c r="E21" s="111"/>
      <c r="F21" s="111"/>
      <c r="G21" s="111"/>
      <c r="H21" s="111">
        <f>Tabelle211[[#This Row],[Entfernung (km) einfach]]*2</f>
        <v>0</v>
      </c>
      <c r="I21" s="111"/>
      <c r="J21" s="140"/>
      <c r="K21" s="6">
        <f>IF(Tabelle211[[#This Row],[Verkehrsmittel]]="Bus",Tabelle211[[#This Row],[Entfernung (km) gesamt]],0)*Tabelle211[[#This Row],[Anzahl Studierende ]]</f>
        <v>0</v>
      </c>
      <c r="L21" s="7">
        <f>IF(Tabelle211[[#This Row],[Verkehrsmittel]]="Bahn",Tabelle211[[#This Row],[Anzahl Studierende ]]*Tabelle211[[#This Row],[Entfernung (km) gesamt]],0)</f>
        <v>0</v>
      </c>
      <c r="M21" s="6">
        <f>IF(Tabelle211[[#This Row],[Verkehrsmittel]]="PKW",Tabelle211[[#This Row],[Anzahl Studierende ]]*Tabelle211[[#This Row],[Entfernung (km) gesamt]],0)</f>
        <v>0</v>
      </c>
      <c r="N21" s="7">
        <f>IF(Tabelle211[[#This Row],[Verkehrsmittel]]="Flug", IF(AND(Tabelle211[[#This Row],[Entfernung (km) einfach]]&lt;500),Tabelle211[[#This Row],[Entfernung (km) gesamt]]), 0)*Tabelle211[[#This Row],[Anzahl Studierende ]]</f>
        <v>0</v>
      </c>
      <c r="O21" s="7">
        <f>IF(Tabelle211[[#This Row],[Verkehrsmittel]]="Flug", IF(AND(Tabelle211[[#This Row],[Entfernung (km) einfach]]&gt;500,Tabelle211[[#This Row],[Entfernung (km) einfach]]&lt;1000),Tabelle211[[#This Row],[Entfernung (km) gesamt]], 0), 0)*Tabelle211[[#This Row],[Anzahl Studierende ]]</f>
        <v>0</v>
      </c>
      <c r="P21" s="7">
        <f>IF(Tabelle211[[#This Row],[Verkehrsmittel]]="Flug", IF(AND(Tabelle211[[#This Row],[Entfernung (km) einfach]]&gt;1000,Tabelle211[[#This Row],[Entfernung (km) einfach]]&lt;2000),Tabelle211[[#This Row],[Entfernung (km) gesamt]], 0), 0)*Tabelle211[[#This Row],[Anzahl Studierende ]]</f>
        <v>0</v>
      </c>
      <c r="Q21" s="7">
        <f>IF(Tabelle211[[#This Row],[Verkehrsmittel]]="Flug", IF(AND(Tabelle211[[#This Row],[Entfernung (km) einfach]]&gt;2000,Tabelle211[[#This Row],[Entfernung (km) einfach]]&lt;5000),Tabelle211[[#This Row],[Entfernung (km) gesamt]], 0), 0)*Tabelle211[[#This Row],[Anzahl Studierende ]]</f>
        <v>0</v>
      </c>
      <c r="R21" s="7">
        <f>IF(Tabelle211[[#This Row],[Verkehrsmittel]]="Flug", IF(AND(Tabelle211[[#This Row],[Entfernung (km) einfach]]&gt;5000,Tabelle211[[#This Row],[Entfernung (km) einfach]]&lt;10000),Tabelle211[[#This Row],[Entfernung (km) gesamt]], 0), 0)*Tabelle211[[#This Row],[Anzahl Studierende ]]</f>
        <v>0</v>
      </c>
      <c r="S21">
        <f>IF(Tabelle211[[#This Row],[Verkehrsmittel]]="Flug", IF(AND(Tabelle211[[#This Row],[Entfernung (km) einfach]]&gt;10000),Tabelle211[[#This Row],[Entfernung (km) gesamt]]), 0)*Tabelle211[[#This Row],[Anzahl Studierende ]]</f>
        <v>0</v>
      </c>
      <c r="T21">
        <f>IF(Tabelle211[[#This Row],[Verkehrsmittel]]="Motorrad",Tabelle211[[#This Row],[Entfernung (km) gesamt]],0)*Tabelle211[[#This Row],[Anzahl Studierende ]]</f>
        <v>0</v>
      </c>
      <c r="U21">
        <f>IF(Tabelle211[[#This Row],[Verkehrsmittel]]="Straßen-, S-, U-Bahn",Tabelle211[[#This Row],[Entfernung (km) gesamt]],0)*Tabelle211[[#This Row],[Anzahl Studierende ]]</f>
        <v>0</v>
      </c>
      <c r="V21">
        <f>IF(Tabelle211[[#This Row],[Verkehrsmittel]]="Fahrrad",Tabelle211[[#This Row],[Entfernung (km) gesamt]],0)*Tabelle211[[#This Row],[Anzahl Studierende ]]</f>
        <v>0</v>
      </c>
    </row>
    <row r="22" spans="2:22" ht="15.6">
      <c r="B22" s="138"/>
      <c r="C22" s="139"/>
      <c r="D22" s="161"/>
      <c r="E22" s="111"/>
      <c r="F22" s="111"/>
      <c r="G22" s="111"/>
      <c r="H22" s="111">
        <f>Tabelle211[[#This Row],[Entfernung (km) einfach]]*2</f>
        <v>0</v>
      </c>
      <c r="I22" s="111"/>
      <c r="J22" s="140"/>
      <c r="K22" s="6">
        <f>IF(Tabelle211[[#This Row],[Verkehrsmittel]]="Bus",Tabelle211[[#This Row],[Entfernung (km) gesamt]],0)*Tabelle211[[#This Row],[Anzahl Studierende ]]</f>
        <v>0</v>
      </c>
      <c r="L22" s="7">
        <f>IF(Tabelle211[[#This Row],[Verkehrsmittel]]="Bahn",Tabelle211[[#This Row],[Anzahl Studierende ]]*Tabelle211[[#This Row],[Entfernung (km) gesamt]],0)</f>
        <v>0</v>
      </c>
      <c r="M22" s="6">
        <f>IF(Tabelle211[[#This Row],[Verkehrsmittel]]="PKW",Tabelle211[[#This Row],[Anzahl Studierende ]]*Tabelle211[[#This Row],[Entfernung (km) gesamt]],0)</f>
        <v>0</v>
      </c>
      <c r="N22" s="7">
        <f>IF(Tabelle211[[#This Row],[Verkehrsmittel]]="Flug", IF(AND(Tabelle211[[#This Row],[Entfernung (km) einfach]]&lt;500),Tabelle211[[#This Row],[Entfernung (km) gesamt]]), 0)*Tabelle211[[#This Row],[Anzahl Studierende ]]</f>
        <v>0</v>
      </c>
      <c r="O22" s="7">
        <f>IF(Tabelle211[[#This Row],[Verkehrsmittel]]="Flug", IF(AND(Tabelle211[[#This Row],[Entfernung (km) einfach]]&gt;500,Tabelle211[[#This Row],[Entfernung (km) einfach]]&lt;1000),Tabelle211[[#This Row],[Entfernung (km) gesamt]], 0), 0)*Tabelle211[[#This Row],[Anzahl Studierende ]]</f>
        <v>0</v>
      </c>
      <c r="P22" s="7">
        <f>IF(Tabelle211[[#This Row],[Verkehrsmittel]]="Flug", IF(AND(Tabelle211[[#This Row],[Entfernung (km) einfach]]&gt;1000,Tabelle211[[#This Row],[Entfernung (km) einfach]]&lt;2000),Tabelle211[[#This Row],[Entfernung (km) gesamt]], 0), 0)*Tabelle211[[#This Row],[Anzahl Studierende ]]</f>
        <v>0</v>
      </c>
      <c r="Q22" s="7">
        <f>IF(Tabelle211[[#This Row],[Verkehrsmittel]]="Flug", IF(AND(Tabelle211[[#This Row],[Entfernung (km) einfach]]&gt;2000,Tabelle211[[#This Row],[Entfernung (km) einfach]]&lt;5000),Tabelle211[[#This Row],[Entfernung (km) gesamt]], 0), 0)*Tabelle211[[#This Row],[Anzahl Studierende ]]</f>
        <v>0</v>
      </c>
      <c r="R22" s="7">
        <f>IF(Tabelle211[[#This Row],[Verkehrsmittel]]="Flug", IF(AND(Tabelle211[[#This Row],[Entfernung (km) einfach]]&gt;5000,Tabelle211[[#This Row],[Entfernung (km) einfach]]&lt;10000),Tabelle211[[#This Row],[Entfernung (km) gesamt]], 0), 0)*Tabelle211[[#This Row],[Anzahl Studierende ]]</f>
        <v>0</v>
      </c>
      <c r="S22">
        <f>IF(Tabelle211[[#This Row],[Verkehrsmittel]]="Flug", IF(AND(Tabelle211[[#This Row],[Entfernung (km) einfach]]&gt;10000),Tabelle211[[#This Row],[Entfernung (km) gesamt]]), 0)*Tabelle211[[#This Row],[Anzahl Studierende ]]</f>
        <v>0</v>
      </c>
      <c r="T22">
        <f>IF(Tabelle211[[#This Row],[Verkehrsmittel]]="Motorrad",Tabelle211[[#This Row],[Entfernung (km) gesamt]],0)*Tabelle211[[#This Row],[Anzahl Studierende ]]</f>
        <v>0</v>
      </c>
      <c r="U22">
        <f>IF(Tabelle211[[#This Row],[Verkehrsmittel]]="Straßen-, S-, U-Bahn",Tabelle211[[#This Row],[Entfernung (km) gesamt]],0)*Tabelle211[[#This Row],[Anzahl Studierende ]]</f>
        <v>0</v>
      </c>
      <c r="V22">
        <f>IF(Tabelle211[[#This Row],[Verkehrsmittel]]="Fahrrad",Tabelle211[[#This Row],[Entfernung (km) gesamt]],0)*Tabelle211[[#This Row],[Anzahl Studierende ]]</f>
        <v>0</v>
      </c>
    </row>
    <row r="23" spans="2:22" ht="15.6">
      <c r="B23" s="138"/>
      <c r="C23" s="139"/>
      <c r="D23" s="160"/>
      <c r="E23" s="111"/>
      <c r="F23" s="111"/>
      <c r="G23" s="111"/>
      <c r="H23" s="111">
        <f>Tabelle211[[#This Row],[Entfernung (km) einfach]]*2</f>
        <v>0</v>
      </c>
      <c r="I23" s="111"/>
      <c r="J23" s="140"/>
      <c r="K23" s="6">
        <f>IF(Tabelle211[[#This Row],[Verkehrsmittel]]="Bus",Tabelle211[[#This Row],[Entfernung (km) gesamt]],0)*Tabelle211[[#This Row],[Anzahl Studierende ]]</f>
        <v>0</v>
      </c>
      <c r="L23" s="7">
        <f>IF(Tabelle211[[#This Row],[Verkehrsmittel]]="Bahn",Tabelle211[[#This Row],[Anzahl Studierende ]]*Tabelle211[[#This Row],[Entfernung (km) gesamt]],0)</f>
        <v>0</v>
      </c>
      <c r="M23" s="6">
        <f>IF(Tabelle211[[#This Row],[Verkehrsmittel]]="PKW",Tabelle211[[#This Row],[Anzahl Studierende ]]*Tabelle211[[#This Row],[Entfernung (km) gesamt]],0)</f>
        <v>0</v>
      </c>
      <c r="N23" s="7">
        <f>IF(Tabelle211[[#This Row],[Verkehrsmittel]]="Flug", IF(AND(Tabelle211[[#This Row],[Entfernung (km) einfach]]&lt;500),Tabelle211[[#This Row],[Entfernung (km) gesamt]]), 0)*Tabelle211[[#This Row],[Anzahl Studierende ]]</f>
        <v>0</v>
      </c>
      <c r="O23" s="7">
        <f>IF(Tabelle211[[#This Row],[Verkehrsmittel]]="Flug", IF(AND(Tabelle211[[#This Row],[Entfernung (km) einfach]]&gt;500,Tabelle211[[#This Row],[Entfernung (km) einfach]]&lt;1000),Tabelle211[[#This Row],[Entfernung (km) gesamt]], 0), 0)*Tabelle211[[#This Row],[Anzahl Studierende ]]</f>
        <v>0</v>
      </c>
      <c r="P23" s="7">
        <f>IF(Tabelle211[[#This Row],[Verkehrsmittel]]="Flug", IF(AND(Tabelle211[[#This Row],[Entfernung (km) einfach]]&gt;1000,Tabelle211[[#This Row],[Entfernung (km) einfach]]&lt;2000),Tabelle211[[#This Row],[Entfernung (km) gesamt]], 0), 0)*Tabelle211[[#This Row],[Anzahl Studierende ]]</f>
        <v>0</v>
      </c>
      <c r="Q23" s="7">
        <f>IF(Tabelle211[[#This Row],[Verkehrsmittel]]="Flug", IF(AND(Tabelle211[[#This Row],[Entfernung (km) einfach]]&gt;2000,Tabelle211[[#This Row],[Entfernung (km) einfach]]&lt;5000),Tabelle211[[#This Row],[Entfernung (km) gesamt]], 0), 0)*Tabelle211[[#This Row],[Anzahl Studierende ]]</f>
        <v>0</v>
      </c>
      <c r="R23" s="7">
        <f>IF(Tabelle211[[#This Row],[Verkehrsmittel]]="Flug", IF(AND(Tabelle211[[#This Row],[Entfernung (km) einfach]]&gt;5000,Tabelle211[[#This Row],[Entfernung (km) einfach]]&lt;10000),Tabelle211[[#This Row],[Entfernung (km) gesamt]], 0), 0)*Tabelle211[[#This Row],[Anzahl Studierende ]]</f>
        <v>0</v>
      </c>
      <c r="S23">
        <f>IF(Tabelle211[[#This Row],[Verkehrsmittel]]="Flug", IF(AND(Tabelle211[[#This Row],[Entfernung (km) einfach]]&gt;10000),Tabelle211[[#This Row],[Entfernung (km) gesamt]]), 0)*Tabelle211[[#This Row],[Anzahl Studierende ]]</f>
        <v>0</v>
      </c>
      <c r="T23">
        <f>IF(Tabelle211[[#This Row],[Verkehrsmittel]]="Motorrad",Tabelle211[[#This Row],[Entfernung (km) gesamt]],0)*Tabelle211[[#This Row],[Anzahl Studierende ]]</f>
        <v>0</v>
      </c>
      <c r="U23">
        <f>IF(Tabelle211[[#This Row],[Verkehrsmittel]]="Straßen-, S-, U-Bahn",Tabelle211[[#This Row],[Entfernung (km) gesamt]],0)*Tabelle211[[#This Row],[Anzahl Studierende ]]</f>
        <v>0</v>
      </c>
      <c r="V23">
        <f>IF(Tabelle211[[#This Row],[Verkehrsmittel]]="Fahrrad",Tabelle211[[#This Row],[Entfernung (km) gesamt]],0)*Tabelle211[[#This Row],[Anzahl Studierende ]]</f>
        <v>0</v>
      </c>
    </row>
    <row r="24" spans="2:22" ht="15.6">
      <c r="B24" s="138"/>
      <c r="C24" s="139"/>
      <c r="D24" s="160"/>
      <c r="E24" s="111"/>
      <c r="F24" s="111"/>
      <c r="G24" s="111"/>
      <c r="H24" s="111">
        <f>Tabelle211[[#This Row],[Entfernung (km) einfach]]*2</f>
        <v>0</v>
      </c>
      <c r="I24" s="111"/>
      <c r="J24" s="140"/>
      <c r="K24" s="47">
        <f>IF(Tabelle211[[#This Row],[Verkehrsmittel]]="Bus",Tabelle211[[#This Row],[Entfernung (km) gesamt]],0)*Tabelle211[[#This Row],[Anzahl Studierende ]]</f>
        <v>0</v>
      </c>
      <c r="L24" s="48">
        <f>IF(Tabelle211[[#This Row],[Verkehrsmittel]]="Bahn",Tabelle211[[#This Row],[Anzahl Studierende ]]*Tabelle211[[#This Row],[Entfernung (km) gesamt]],0)</f>
        <v>0</v>
      </c>
      <c r="M24" s="47">
        <f>IF(Tabelle211[[#This Row],[Verkehrsmittel]]="PKW",Tabelle211[[#This Row],[Anzahl Studierende ]]*Tabelle211[[#This Row],[Entfernung (km) gesamt]],0)</f>
        <v>0</v>
      </c>
      <c r="N24" s="48">
        <f>IF(Tabelle211[[#This Row],[Verkehrsmittel]]="Flug", IF(AND(Tabelle211[[#This Row],[Entfernung (km) einfach]]&lt;500),Tabelle211[[#This Row],[Entfernung (km) gesamt]]), 0)*Tabelle211[[#This Row],[Anzahl Studierende ]]</f>
        <v>0</v>
      </c>
      <c r="O24" s="48">
        <f>IF(Tabelle211[[#This Row],[Verkehrsmittel]]="Flug", IF(AND(Tabelle211[[#This Row],[Entfernung (km) einfach]]&gt;500,Tabelle211[[#This Row],[Entfernung (km) einfach]]&lt;1000),Tabelle211[[#This Row],[Entfernung (km) gesamt]], 0), 0)*Tabelle211[[#This Row],[Anzahl Studierende ]]</f>
        <v>0</v>
      </c>
      <c r="P24" s="48">
        <f>IF(Tabelle211[[#This Row],[Verkehrsmittel]]="Flug", IF(AND(Tabelle211[[#This Row],[Entfernung (km) einfach]]&gt;1000,Tabelle211[[#This Row],[Entfernung (km) einfach]]&lt;2000),Tabelle211[[#This Row],[Entfernung (km) gesamt]], 0), 0)*Tabelle211[[#This Row],[Anzahl Studierende ]]</f>
        <v>0</v>
      </c>
      <c r="Q24" s="48">
        <f>IF(Tabelle211[[#This Row],[Verkehrsmittel]]="Flug", IF(AND(Tabelle211[[#This Row],[Entfernung (km) einfach]]&gt;2000,Tabelle211[[#This Row],[Entfernung (km) einfach]]&lt;5000),Tabelle211[[#This Row],[Entfernung (km) gesamt]], 0), 0)*Tabelle211[[#This Row],[Anzahl Studierende ]]</f>
        <v>0</v>
      </c>
      <c r="R24" s="48">
        <f>IF(Tabelle211[[#This Row],[Verkehrsmittel]]="Flug", IF(AND(Tabelle211[[#This Row],[Entfernung (km) einfach]]&gt;5000,Tabelle211[[#This Row],[Entfernung (km) einfach]]&lt;10000),Tabelle211[[#This Row],[Entfernung (km) gesamt]], 0), 0)*Tabelle211[[#This Row],[Anzahl Studierende ]]</f>
        <v>0</v>
      </c>
      <c r="S24" s="36">
        <f>IF(Tabelle211[[#This Row],[Verkehrsmittel]]="Flug", IF(AND(Tabelle211[[#This Row],[Entfernung (km) einfach]]&gt;10000),Tabelle211[[#This Row],[Entfernung (km) gesamt]]), 0)*Tabelle211[[#This Row],[Anzahl Studierende ]]</f>
        <v>0</v>
      </c>
      <c r="T24" s="36">
        <f>IF(Tabelle211[[#This Row],[Verkehrsmittel]]="Motorrad",Tabelle211[[#This Row],[Entfernung (km) gesamt]],0)*Tabelle211[[#This Row],[Anzahl Studierende ]]</f>
        <v>0</v>
      </c>
      <c r="U24" s="36">
        <f>IF(Tabelle211[[#This Row],[Verkehrsmittel]]="Straßen-, S-, U-Bahn",Tabelle211[[#This Row],[Entfernung (km) gesamt]],0)*Tabelle211[[#This Row],[Anzahl Studierende ]]</f>
        <v>0</v>
      </c>
      <c r="V24" s="36">
        <f>IF(Tabelle211[[#This Row],[Verkehrsmittel]]="Fahrrad",Tabelle211[[#This Row],[Entfernung (km) gesamt]],0)*Tabelle211[[#This Row],[Anzahl Studierende ]]</f>
        <v>0</v>
      </c>
    </row>
    <row r="25" spans="2:22" ht="15.6">
      <c r="B25" s="138"/>
      <c r="C25" s="139"/>
      <c r="D25" s="160"/>
      <c r="E25" s="111"/>
      <c r="F25" s="111"/>
      <c r="G25" s="111"/>
      <c r="H25" s="111">
        <f>Tabelle211[[#This Row],[Entfernung (km) einfach]]*2</f>
        <v>0</v>
      </c>
      <c r="I25" s="111"/>
      <c r="J25" s="140"/>
      <c r="K25" s="47">
        <f>IF(Tabelle211[[#This Row],[Verkehrsmittel]]="Bus",Tabelle211[[#This Row],[Entfernung (km) gesamt]],0)*Tabelle211[[#This Row],[Anzahl Studierende ]]</f>
        <v>0</v>
      </c>
      <c r="L25" s="48">
        <f>IF(Tabelle211[[#This Row],[Verkehrsmittel]]="Bahn",Tabelle211[[#This Row],[Anzahl Studierende ]]*Tabelle211[[#This Row],[Entfernung (km) gesamt]],0)</f>
        <v>0</v>
      </c>
      <c r="M25" s="47">
        <f>IF(Tabelle211[[#This Row],[Verkehrsmittel]]="PKW",Tabelle211[[#This Row],[Anzahl Studierende ]]*Tabelle211[[#This Row],[Entfernung (km) gesamt]],0)</f>
        <v>0</v>
      </c>
      <c r="N25" s="48">
        <f>IF(Tabelle211[[#This Row],[Verkehrsmittel]]="Flug", IF(AND(Tabelle211[[#This Row],[Entfernung (km) einfach]]&lt;500),Tabelle211[[#This Row],[Entfernung (km) gesamt]]), 0)*Tabelle211[[#This Row],[Anzahl Studierende ]]</f>
        <v>0</v>
      </c>
      <c r="O25" s="48">
        <f>IF(Tabelle211[[#This Row],[Verkehrsmittel]]="Flug", IF(AND(Tabelle211[[#This Row],[Entfernung (km) einfach]]&gt;500,Tabelle211[[#This Row],[Entfernung (km) einfach]]&lt;1000),Tabelle211[[#This Row],[Entfernung (km) gesamt]], 0), 0)*Tabelle211[[#This Row],[Anzahl Studierende ]]</f>
        <v>0</v>
      </c>
      <c r="P25" s="48">
        <f>IF(Tabelle211[[#This Row],[Verkehrsmittel]]="Flug", IF(AND(Tabelle211[[#This Row],[Entfernung (km) einfach]]&gt;1000,Tabelle211[[#This Row],[Entfernung (km) einfach]]&lt;2000),Tabelle211[[#This Row],[Entfernung (km) gesamt]], 0), 0)*Tabelle211[[#This Row],[Anzahl Studierende ]]</f>
        <v>0</v>
      </c>
      <c r="Q25" s="48">
        <f>IF(Tabelle211[[#This Row],[Verkehrsmittel]]="Flug", IF(AND(Tabelle211[[#This Row],[Entfernung (km) einfach]]&gt;2000,Tabelle211[[#This Row],[Entfernung (km) einfach]]&lt;5000),Tabelle211[[#This Row],[Entfernung (km) gesamt]], 0), 0)*Tabelle211[[#This Row],[Anzahl Studierende ]]</f>
        <v>0</v>
      </c>
      <c r="R25" s="48">
        <f>IF(Tabelle211[[#This Row],[Verkehrsmittel]]="Flug", IF(AND(Tabelle211[[#This Row],[Entfernung (km) einfach]]&gt;5000,Tabelle211[[#This Row],[Entfernung (km) einfach]]&lt;10000),Tabelle211[[#This Row],[Entfernung (km) gesamt]], 0), 0)*Tabelle211[[#This Row],[Anzahl Studierende ]]</f>
        <v>0</v>
      </c>
      <c r="S25" s="36">
        <f>IF(Tabelle211[[#This Row],[Verkehrsmittel]]="Flug", IF(AND(Tabelle211[[#This Row],[Entfernung (km) einfach]]&gt;10000),Tabelle211[[#This Row],[Entfernung (km) gesamt]]), 0)*Tabelle211[[#This Row],[Anzahl Studierende ]]</f>
        <v>0</v>
      </c>
      <c r="T25" s="36">
        <f>IF(Tabelle211[[#This Row],[Verkehrsmittel]]="Motorrad",Tabelle211[[#This Row],[Entfernung (km) gesamt]],0)*Tabelle211[[#This Row],[Anzahl Studierende ]]</f>
        <v>0</v>
      </c>
      <c r="U25" s="36">
        <f>IF(Tabelle211[[#This Row],[Verkehrsmittel]]="Straßen-, S-, U-Bahn",Tabelle211[[#This Row],[Entfernung (km) gesamt]],0)*Tabelle211[[#This Row],[Anzahl Studierende ]]</f>
        <v>0</v>
      </c>
      <c r="V25" s="36">
        <f>IF(Tabelle211[[#This Row],[Verkehrsmittel]]="Fahrrad",Tabelle211[[#This Row],[Entfernung (km) gesamt]],0)*Tabelle211[[#This Row],[Anzahl Studierende ]]</f>
        <v>0</v>
      </c>
    </row>
    <row r="26" spans="2:22" ht="15.6">
      <c r="B26" s="138"/>
      <c r="C26" s="139"/>
      <c r="D26" s="160"/>
      <c r="E26" s="111"/>
      <c r="F26" s="111"/>
      <c r="G26" s="111"/>
      <c r="H26" s="111">
        <f>Tabelle211[[#This Row],[Entfernung (km) einfach]]*2</f>
        <v>0</v>
      </c>
      <c r="I26" s="111"/>
      <c r="J26" s="140"/>
      <c r="K26" s="47">
        <f>IF(Tabelle211[[#This Row],[Verkehrsmittel]]="Bus",Tabelle211[[#This Row],[Entfernung (km) gesamt]],0)*Tabelle211[[#This Row],[Anzahl Studierende ]]</f>
        <v>0</v>
      </c>
      <c r="L26" s="48">
        <f>IF(Tabelle211[[#This Row],[Verkehrsmittel]]="Bahn",Tabelle211[[#This Row],[Anzahl Studierende ]]*Tabelle211[[#This Row],[Entfernung (km) gesamt]],0)</f>
        <v>0</v>
      </c>
      <c r="M26" s="47">
        <f>IF(Tabelle211[[#This Row],[Verkehrsmittel]]="PKW",Tabelle211[[#This Row],[Anzahl Studierende ]]*Tabelle211[[#This Row],[Entfernung (km) gesamt]],0)</f>
        <v>0</v>
      </c>
      <c r="N26" s="48">
        <f>IF(Tabelle211[[#This Row],[Verkehrsmittel]]="Flug", IF(AND(Tabelle211[[#This Row],[Entfernung (km) einfach]]&lt;500),Tabelle211[[#This Row],[Entfernung (km) gesamt]]), 0)*Tabelle211[[#This Row],[Anzahl Studierende ]]</f>
        <v>0</v>
      </c>
      <c r="O26" s="48">
        <f>IF(Tabelle211[[#This Row],[Verkehrsmittel]]="Flug", IF(AND(Tabelle211[[#This Row],[Entfernung (km) einfach]]&gt;500,Tabelle211[[#This Row],[Entfernung (km) einfach]]&lt;1000),Tabelle211[[#This Row],[Entfernung (km) gesamt]], 0), 0)*Tabelle211[[#This Row],[Anzahl Studierende ]]</f>
        <v>0</v>
      </c>
      <c r="P26" s="48">
        <f>IF(Tabelle211[[#This Row],[Verkehrsmittel]]="Flug", IF(AND(Tabelle211[[#This Row],[Entfernung (km) einfach]]&gt;1000,Tabelle211[[#This Row],[Entfernung (km) einfach]]&lt;2000),Tabelle211[[#This Row],[Entfernung (km) gesamt]], 0), 0)*Tabelle211[[#This Row],[Anzahl Studierende ]]</f>
        <v>0</v>
      </c>
      <c r="Q26" s="48">
        <f>IF(Tabelle211[[#This Row],[Verkehrsmittel]]="Flug", IF(AND(Tabelle211[[#This Row],[Entfernung (km) einfach]]&gt;2000,Tabelle211[[#This Row],[Entfernung (km) einfach]]&lt;5000),Tabelle211[[#This Row],[Entfernung (km) gesamt]], 0), 0)*Tabelle211[[#This Row],[Anzahl Studierende ]]</f>
        <v>0</v>
      </c>
      <c r="R26" s="48">
        <f>IF(Tabelle211[[#This Row],[Verkehrsmittel]]="Flug", IF(AND(Tabelle211[[#This Row],[Entfernung (km) einfach]]&gt;5000,Tabelle211[[#This Row],[Entfernung (km) einfach]]&lt;10000),Tabelle211[[#This Row],[Entfernung (km) gesamt]], 0), 0)*Tabelle211[[#This Row],[Anzahl Studierende ]]</f>
        <v>0</v>
      </c>
      <c r="S26" s="36">
        <f>IF(Tabelle211[[#This Row],[Verkehrsmittel]]="Flug", IF(AND(Tabelle211[[#This Row],[Entfernung (km) einfach]]&gt;10000),Tabelle211[[#This Row],[Entfernung (km) gesamt]]), 0)*Tabelle211[[#This Row],[Anzahl Studierende ]]</f>
        <v>0</v>
      </c>
      <c r="T26" s="36">
        <f>IF(Tabelle211[[#This Row],[Verkehrsmittel]]="Motorrad",Tabelle211[[#This Row],[Entfernung (km) gesamt]],0)*Tabelle211[[#This Row],[Anzahl Studierende ]]</f>
        <v>0</v>
      </c>
      <c r="U26" s="36">
        <f>IF(Tabelle211[[#This Row],[Verkehrsmittel]]="Straßen-, S-, U-Bahn",Tabelle211[[#This Row],[Entfernung (km) gesamt]],0)*Tabelle211[[#This Row],[Anzahl Studierende ]]</f>
        <v>0</v>
      </c>
      <c r="V26" s="36">
        <f>IF(Tabelle211[[#This Row],[Verkehrsmittel]]="Fahrrad",Tabelle211[[#This Row],[Entfernung (km) gesamt]],0)*Tabelle211[[#This Row],[Anzahl Studierende ]]</f>
        <v>0</v>
      </c>
    </row>
    <row r="27" spans="2:22" ht="15.6">
      <c r="B27" s="138"/>
      <c r="C27" s="139"/>
      <c r="D27" s="160"/>
      <c r="E27" s="111"/>
      <c r="F27" s="111"/>
      <c r="G27" s="111"/>
      <c r="H27" s="111">
        <f>Tabelle211[[#This Row],[Entfernung (km) einfach]]*2</f>
        <v>0</v>
      </c>
      <c r="I27" s="111"/>
      <c r="J27" s="140"/>
      <c r="K27" s="47">
        <f>IF(Tabelle211[[#This Row],[Verkehrsmittel]]="Bus",Tabelle211[[#This Row],[Entfernung (km) gesamt]],0)*Tabelle211[[#This Row],[Anzahl Studierende ]]</f>
        <v>0</v>
      </c>
      <c r="L27" s="48">
        <f>IF(Tabelle211[[#This Row],[Verkehrsmittel]]="Bahn",Tabelle211[[#This Row],[Anzahl Studierende ]]*Tabelle211[[#This Row],[Entfernung (km) gesamt]],0)</f>
        <v>0</v>
      </c>
      <c r="M27" s="47">
        <f>IF(Tabelle211[[#This Row],[Verkehrsmittel]]="PKW",Tabelle211[[#This Row],[Anzahl Studierende ]]*Tabelle211[[#This Row],[Entfernung (km) gesamt]],0)</f>
        <v>0</v>
      </c>
      <c r="N27" s="48">
        <f>IF(Tabelle211[[#This Row],[Verkehrsmittel]]="Flug", IF(AND(Tabelle211[[#This Row],[Entfernung (km) einfach]]&lt;500),Tabelle211[[#This Row],[Entfernung (km) gesamt]]), 0)*Tabelle211[[#This Row],[Anzahl Studierende ]]</f>
        <v>0</v>
      </c>
      <c r="O27" s="48">
        <f>IF(Tabelle211[[#This Row],[Verkehrsmittel]]="Flug", IF(AND(Tabelle211[[#This Row],[Entfernung (km) einfach]]&gt;500,Tabelle211[[#This Row],[Entfernung (km) einfach]]&lt;1000),Tabelle211[[#This Row],[Entfernung (km) gesamt]], 0), 0)*Tabelle211[[#This Row],[Anzahl Studierende ]]</f>
        <v>0</v>
      </c>
      <c r="P27" s="48">
        <f>IF(Tabelle211[[#This Row],[Verkehrsmittel]]="Flug", IF(AND(Tabelle211[[#This Row],[Entfernung (km) einfach]]&gt;1000,Tabelle211[[#This Row],[Entfernung (km) einfach]]&lt;2000),Tabelle211[[#This Row],[Entfernung (km) gesamt]], 0), 0)*Tabelle211[[#This Row],[Anzahl Studierende ]]</f>
        <v>0</v>
      </c>
      <c r="Q27" s="48">
        <f>IF(Tabelle211[[#This Row],[Verkehrsmittel]]="Flug", IF(AND(Tabelle211[[#This Row],[Entfernung (km) einfach]]&gt;2000,Tabelle211[[#This Row],[Entfernung (km) einfach]]&lt;5000),Tabelle211[[#This Row],[Entfernung (km) gesamt]], 0), 0)*Tabelle211[[#This Row],[Anzahl Studierende ]]</f>
        <v>0</v>
      </c>
      <c r="R27" s="48">
        <f>IF(Tabelle211[[#This Row],[Verkehrsmittel]]="Flug", IF(AND(Tabelle211[[#This Row],[Entfernung (km) einfach]]&gt;5000,Tabelle211[[#This Row],[Entfernung (km) einfach]]&lt;10000),Tabelle211[[#This Row],[Entfernung (km) gesamt]], 0), 0)*Tabelle211[[#This Row],[Anzahl Studierende ]]</f>
        <v>0</v>
      </c>
      <c r="S27" s="36">
        <f>IF(Tabelle211[[#This Row],[Verkehrsmittel]]="Flug", IF(AND(Tabelle211[[#This Row],[Entfernung (km) einfach]]&gt;10000),Tabelle211[[#This Row],[Entfernung (km) gesamt]]), 0)*Tabelle211[[#This Row],[Anzahl Studierende ]]</f>
        <v>0</v>
      </c>
      <c r="T27" s="36">
        <f>IF(Tabelle211[[#This Row],[Verkehrsmittel]]="Motorrad",Tabelle211[[#This Row],[Entfernung (km) gesamt]],0)*Tabelle211[[#This Row],[Anzahl Studierende ]]</f>
        <v>0</v>
      </c>
      <c r="U27" s="36">
        <f>IF(Tabelle211[[#This Row],[Verkehrsmittel]]="Straßen-, S-, U-Bahn",Tabelle211[[#This Row],[Entfernung (km) gesamt]],0)*Tabelle211[[#This Row],[Anzahl Studierende ]]</f>
        <v>0</v>
      </c>
      <c r="V27" s="36">
        <f>IF(Tabelle211[[#This Row],[Verkehrsmittel]]="Fahrrad",Tabelle211[[#This Row],[Entfernung (km) gesamt]],0)*Tabelle211[[#This Row],[Anzahl Studierende ]]</f>
        <v>0</v>
      </c>
    </row>
    <row r="28" spans="2:22" ht="15.6">
      <c r="B28" s="138"/>
      <c r="C28" s="139"/>
      <c r="D28" s="160"/>
      <c r="E28" s="111"/>
      <c r="F28" s="111"/>
      <c r="G28" s="111"/>
      <c r="H28" s="111">
        <f>Tabelle211[[#This Row],[Entfernung (km) einfach]]*2</f>
        <v>0</v>
      </c>
      <c r="I28" s="111"/>
      <c r="J28" s="140"/>
      <c r="K28" s="47">
        <f>IF(Tabelle211[[#This Row],[Verkehrsmittel]]="Bus",Tabelle211[[#This Row],[Entfernung (km) gesamt]],0)*Tabelle211[[#This Row],[Anzahl Studierende ]]</f>
        <v>0</v>
      </c>
      <c r="L28" s="48">
        <f>IF(Tabelle211[[#This Row],[Verkehrsmittel]]="Bahn",Tabelle211[[#This Row],[Anzahl Studierende ]]*Tabelle211[[#This Row],[Entfernung (km) gesamt]],0)</f>
        <v>0</v>
      </c>
      <c r="M28" s="47">
        <f>IF(Tabelle211[[#This Row],[Verkehrsmittel]]="PKW",Tabelle211[[#This Row],[Anzahl Studierende ]]*Tabelle211[[#This Row],[Entfernung (km) gesamt]],0)</f>
        <v>0</v>
      </c>
      <c r="N28" s="48">
        <f>IF(Tabelle211[[#This Row],[Verkehrsmittel]]="Flug", IF(AND(Tabelle211[[#This Row],[Entfernung (km) einfach]]&lt;500),Tabelle211[[#This Row],[Entfernung (km) gesamt]]), 0)*Tabelle211[[#This Row],[Anzahl Studierende ]]</f>
        <v>0</v>
      </c>
      <c r="O28" s="48">
        <f>IF(Tabelle211[[#This Row],[Verkehrsmittel]]="Flug", IF(AND(Tabelle211[[#This Row],[Entfernung (km) einfach]]&gt;500,Tabelle211[[#This Row],[Entfernung (km) einfach]]&lt;1000),Tabelle211[[#This Row],[Entfernung (km) gesamt]], 0), 0)*Tabelle211[[#This Row],[Anzahl Studierende ]]</f>
        <v>0</v>
      </c>
      <c r="P28" s="48">
        <f>IF(Tabelle211[[#This Row],[Verkehrsmittel]]="Flug", IF(AND(Tabelle211[[#This Row],[Entfernung (km) einfach]]&gt;1000,Tabelle211[[#This Row],[Entfernung (km) einfach]]&lt;2000),Tabelle211[[#This Row],[Entfernung (km) gesamt]], 0), 0)*Tabelle211[[#This Row],[Anzahl Studierende ]]</f>
        <v>0</v>
      </c>
      <c r="Q28" s="48">
        <f>IF(Tabelle211[[#This Row],[Verkehrsmittel]]="Flug", IF(AND(Tabelle211[[#This Row],[Entfernung (km) einfach]]&gt;2000,Tabelle211[[#This Row],[Entfernung (km) einfach]]&lt;5000),Tabelle211[[#This Row],[Entfernung (km) gesamt]], 0), 0)*Tabelle211[[#This Row],[Anzahl Studierende ]]</f>
        <v>0</v>
      </c>
      <c r="R28" s="48">
        <f>IF(Tabelle211[[#This Row],[Verkehrsmittel]]="Flug", IF(AND(Tabelle211[[#This Row],[Entfernung (km) einfach]]&gt;5000,Tabelle211[[#This Row],[Entfernung (km) einfach]]&lt;10000),Tabelle211[[#This Row],[Entfernung (km) gesamt]], 0), 0)*Tabelle211[[#This Row],[Anzahl Studierende ]]</f>
        <v>0</v>
      </c>
      <c r="S28" s="36">
        <f>IF(Tabelle211[[#This Row],[Verkehrsmittel]]="Flug", IF(AND(Tabelle211[[#This Row],[Entfernung (km) einfach]]&gt;10000),Tabelle211[[#This Row],[Entfernung (km) gesamt]]), 0)*Tabelle211[[#This Row],[Anzahl Studierende ]]</f>
        <v>0</v>
      </c>
      <c r="T28" s="36">
        <f>IF(Tabelle211[[#This Row],[Verkehrsmittel]]="Motorrad",Tabelle211[[#This Row],[Entfernung (km) gesamt]],0)*Tabelle211[[#This Row],[Anzahl Studierende ]]</f>
        <v>0</v>
      </c>
      <c r="U28" s="36">
        <f>IF(Tabelle211[[#This Row],[Verkehrsmittel]]="Straßen-, S-, U-Bahn",Tabelle211[[#This Row],[Entfernung (km) gesamt]],0)*Tabelle211[[#This Row],[Anzahl Studierende ]]</f>
        <v>0</v>
      </c>
      <c r="V28" s="36">
        <f>IF(Tabelle211[[#This Row],[Verkehrsmittel]]="Fahrrad",Tabelle211[[#This Row],[Entfernung (km) gesamt]],0)*Tabelle211[[#This Row],[Anzahl Studierende ]]</f>
        <v>0</v>
      </c>
    </row>
    <row r="29" spans="2:22" ht="15.6">
      <c r="B29" s="138"/>
      <c r="C29" s="139"/>
      <c r="D29" s="160"/>
      <c r="E29" s="111"/>
      <c r="F29" s="111"/>
      <c r="G29" s="111"/>
      <c r="H29" s="111">
        <f>Tabelle211[[#This Row],[Entfernung (km) einfach]]*2</f>
        <v>0</v>
      </c>
      <c r="I29" s="111"/>
      <c r="J29" s="140"/>
      <c r="K29" s="47">
        <f>IF(Tabelle211[[#This Row],[Verkehrsmittel]]="Bus",Tabelle211[[#This Row],[Entfernung (km) gesamt]],0)*Tabelle211[[#This Row],[Anzahl Studierende ]]</f>
        <v>0</v>
      </c>
      <c r="L29" s="48">
        <f>IF(Tabelle211[[#This Row],[Verkehrsmittel]]="Bahn",Tabelle211[[#This Row],[Anzahl Studierende ]]*Tabelle211[[#This Row],[Entfernung (km) gesamt]],0)</f>
        <v>0</v>
      </c>
      <c r="M29" s="47">
        <f>IF(Tabelle211[[#This Row],[Verkehrsmittel]]="PKW",Tabelle211[[#This Row],[Anzahl Studierende ]]*Tabelle211[[#This Row],[Entfernung (km) gesamt]],0)</f>
        <v>0</v>
      </c>
      <c r="N29" s="48">
        <f>IF(Tabelle211[[#This Row],[Verkehrsmittel]]="Flug", IF(AND(Tabelle211[[#This Row],[Entfernung (km) einfach]]&lt;500),Tabelle211[[#This Row],[Entfernung (km) gesamt]]), 0)*Tabelle211[[#This Row],[Anzahl Studierende ]]</f>
        <v>0</v>
      </c>
      <c r="O29" s="48">
        <f>IF(Tabelle211[[#This Row],[Verkehrsmittel]]="Flug", IF(AND(Tabelle211[[#This Row],[Entfernung (km) einfach]]&gt;500,Tabelle211[[#This Row],[Entfernung (km) einfach]]&lt;1000),Tabelle211[[#This Row],[Entfernung (km) gesamt]], 0), 0)*Tabelle211[[#This Row],[Anzahl Studierende ]]</f>
        <v>0</v>
      </c>
      <c r="P29" s="48">
        <f>IF(Tabelle211[[#This Row],[Verkehrsmittel]]="Flug", IF(AND(Tabelle211[[#This Row],[Entfernung (km) einfach]]&gt;1000,Tabelle211[[#This Row],[Entfernung (km) einfach]]&lt;2000),Tabelle211[[#This Row],[Entfernung (km) gesamt]], 0), 0)*Tabelle211[[#This Row],[Anzahl Studierende ]]</f>
        <v>0</v>
      </c>
      <c r="Q29" s="48">
        <f>IF(Tabelle211[[#This Row],[Verkehrsmittel]]="Flug", IF(AND(Tabelle211[[#This Row],[Entfernung (km) einfach]]&gt;2000,Tabelle211[[#This Row],[Entfernung (km) einfach]]&lt;5000),Tabelle211[[#This Row],[Entfernung (km) gesamt]], 0), 0)*Tabelle211[[#This Row],[Anzahl Studierende ]]</f>
        <v>0</v>
      </c>
      <c r="R29" s="48">
        <f>IF(Tabelle211[[#This Row],[Verkehrsmittel]]="Flug", IF(AND(Tabelle211[[#This Row],[Entfernung (km) einfach]]&gt;5000,Tabelle211[[#This Row],[Entfernung (km) einfach]]&lt;10000),Tabelle211[[#This Row],[Entfernung (km) gesamt]], 0), 0)*Tabelle211[[#This Row],[Anzahl Studierende ]]</f>
        <v>0</v>
      </c>
      <c r="S29" s="36">
        <f>IF(Tabelle211[[#This Row],[Verkehrsmittel]]="Flug", IF(AND(Tabelle211[[#This Row],[Entfernung (km) einfach]]&gt;10000),Tabelle211[[#This Row],[Entfernung (km) gesamt]]), 0)*Tabelle211[[#This Row],[Anzahl Studierende ]]</f>
        <v>0</v>
      </c>
      <c r="T29" s="36">
        <f>IF(Tabelle211[[#This Row],[Verkehrsmittel]]="Motorrad",Tabelle211[[#This Row],[Entfernung (km) gesamt]],0)*Tabelle211[[#This Row],[Anzahl Studierende ]]</f>
        <v>0</v>
      </c>
      <c r="U29" s="36">
        <f>IF(Tabelle211[[#This Row],[Verkehrsmittel]]="Straßen-, S-, U-Bahn",Tabelle211[[#This Row],[Entfernung (km) gesamt]],0)*Tabelle211[[#This Row],[Anzahl Studierende ]]</f>
        <v>0</v>
      </c>
      <c r="V29" s="36">
        <f>IF(Tabelle211[[#This Row],[Verkehrsmittel]]="Fahrrad",Tabelle211[[#This Row],[Entfernung (km) gesamt]],0)*Tabelle211[[#This Row],[Anzahl Studierende ]]</f>
        <v>0</v>
      </c>
    </row>
    <row r="30" spans="2:22" ht="15.6">
      <c r="B30" s="138"/>
      <c r="C30" s="139"/>
      <c r="D30" s="160"/>
      <c r="E30" s="111"/>
      <c r="F30" s="111"/>
      <c r="G30" s="111"/>
      <c r="H30" s="111">
        <f>Tabelle211[[#This Row],[Entfernung (km) einfach]]*2</f>
        <v>0</v>
      </c>
      <c r="I30" s="111"/>
      <c r="J30" s="140"/>
      <c r="K30" s="47">
        <f>IF(Tabelle211[[#This Row],[Verkehrsmittel]]="Bus",Tabelle211[[#This Row],[Entfernung (km) gesamt]],0)*Tabelle211[[#This Row],[Anzahl Studierende ]]</f>
        <v>0</v>
      </c>
      <c r="L30" s="48">
        <f>IF(Tabelle211[[#This Row],[Verkehrsmittel]]="Bahn",Tabelle211[[#This Row],[Anzahl Studierende ]]*Tabelle211[[#This Row],[Entfernung (km) gesamt]],0)</f>
        <v>0</v>
      </c>
      <c r="M30" s="47">
        <f>IF(Tabelle211[[#This Row],[Verkehrsmittel]]="PKW",Tabelle211[[#This Row],[Anzahl Studierende ]]*Tabelle211[[#This Row],[Entfernung (km) gesamt]],0)</f>
        <v>0</v>
      </c>
      <c r="N30" s="48">
        <f>IF(Tabelle211[[#This Row],[Verkehrsmittel]]="Flug", IF(AND(Tabelle211[[#This Row],[Entfernung (km) einfach]]&lt;500),Tabelle211[[#This Row],[Entfernung (km) gesamt]]), 0)*Tabelle211[[#This Row],[Anzahl Studierende ]]</f>
        <v>0</v>
      </c>
      <c r="O30" s="48">
        <f>IF(Tabelle211[[#This Row],[Verkehrsmittel]]="Flug", IF(AND(Tabelle211[[#This Row],[Entfernung (km) einfach]]&gt;500,Tabelle211[[#This Row],[Entfernung (km) einfach]]&lt;1000),Tabelle211[[#This Row],[Entfernung (km) gesamt]], 0), 0)*Tabelle211[[#This Row],[Anzahl Studierende ]]</f>
        <v>0</v>
      </c>
      <c r="P30" s="48">
        <f>IF(Tabelle211[[#This Row],[Verkehrsmittel]]="Flug", IF(AND(Tabelle211[[#This Row],[Entfernung (km) einfach]]&gt;1000,Tabelle211[[#This Row],[Entfernung (km) einfach]]&lt;2000),Tabelle211[[#This Row],[Entfernung (km) gesamt]], 0), 0)*Tabelle211[[#This Row],[Anzahl Studierende ]]</f>
        <v>0</v>
      </c>
      <c r="Q30" s="48">
        <f>IF(Tabelle211[[#This Row],[Verkehrsmittel]]="Flug", IF(AND(Tabelle211[[#This Row],[Entfernung (km) einfach]]&gt;2000,Tabelle211[[#This Row],[Entfernung (km) einfach]]&lt;5000),Tabelle211[[#This Row],[Entfernung (km) gesamt]], 0), 0)*Tabelle211[[#This Row],[Anzahl Studierende ]]</f>
        <v>0</v>
      </c>
      <c r="R30" s="48">
        <f>IF(Tabelle211[[#This Row],[Verkehrsmittel]]="Flug", IF(AND(Tabelle211[[#This Row],[Entfernung (km) einfach]]&gt;5000,Tabelle211[[#This Row],[Entfernung (km) einfach]]&lt;10000),Tabelle211[[#This Row],[Entfernung (km) gesamt]], 0), 0)*Tabelle211[[#This Row],[Anzahl Studierende ]]</f>
        <v>0</v>
      </c>
      <c r="S30" s="36">
        <f>IF(Tabelle211[[#This Row],[Verkehrsmittel]]="Flug", IF(AND(Tabelle211[[#This Row],[Entfernung (km) einfach]]&gt;10000),Tabelle211[[#This Row],[Entfernung (km) gesamt]]), 0)*Tabelle211[[#This Row],[Anzahl Studierende ]]</f>
        <v>0</v>
      </c>
      <c r="T30" s="36">
        <f>IF(Tabelle211[[#This Row],[Verkehrsmittel]]="Motorrad",Tabelle211[[#This Row],[Entfernung (km) gesamt]],0)*Tabelle211[[#This Row],[Anzahl Studierende ]]</f>
        <v>0</v>
      </c>
      <c r="U30" s="36">
        <f>IF(Tabelle211[[#This Row],[Verkehrsmittel]]="Straßen-, S-, U-Bahn",Tabelle211[[#This Row],[Entfernung (km) gesamt]],0)*Tabelle211[[#This Row],[Anzahl Studierende ]]</f>
        <v>0</v>
      </c>
      <c r="V30" s="36">
        <f>IF(Tabelle211[[#This Row],[Verkehrsmittel]]="Fahrrad",Tabelle211[[#This Row],[Entfernung (km) gesamt]],0)*Tabelle211[[#This Row],[Anzahl Studierende ]]</f>
        <v>0</v>
      </c>
    </row>
    <row r="31" spans="2:22" ht="15.6">
      <c r="B31" s="138"/>
      <c r="C31" s="139"/>
      <c r="D31" s="160"/>
      <c r="E31" s="111"/>
      <c r="F31" s="111"/>
      <c r="G31" s="111"/>
      <c r="H31" s="111">
        <f>Tabelle211[[#This Row],[Entfernung (km) einfach]]*2</f>
        <v>0</v>
      </c>
      <c r="I31" s="111"/>
      <c r="J31" s="140"/>
      <c r="K31" s="47">
        <f>IF(Tabelle211[[#This Row],[Verkehrsmittel]]="Bus",Tabelle211[[#This Row],[Entfernung (km) gesamt]],0)*Tabelle211[[#This Row],[Anzahl Studierende ]]</f>
        <v>0</v>
      </c>
      <c r="L31" s="48">
        <f>IF(Tabelle211[[#This Row],[Verkehrsmittel]]="Bahn",Tabelle211[[#This Row],[Anzahl Studierende ]]*Tabelle211[[#This Row],[Entfernung (km) gesamt]],0)</f>
        <v>0</v>
      </c>
      <c r="M31" s="47">
        <f>IF(Tabelle211[[#This Row],[Verkehrsmittel]]="PKW",Tabelle211[[#This Row],[Anzahl Studierende ]]*Tabelle211[[#This Row],[Entfernung (km) gesamt]],0)</f>
        <v>0</v>
      </c>
      <c r="N31" s="48">
        <f>IF(Tabelle211[[#This Row],[Verkehrsmittel]]="Flug", IF(AND(Tabelle211[[#This Row],[Entfernung (km) einfach]]&lt;500),Tabelle211[[#This Row],[Entfernung (km) gesamt]]), 0)*Tabelle211[[#This Row],[Anzahl Studierende ]]</f>
        <v>0</v>
      </c>
      <c r="O31" s="48">
        <f>IF(Tabelle211[[#This Row],[Verkehrsmittel]]="Flug", IF(AND(Tabelle211[[#This Row],[Entfernung (km) einfach]]&gt;500,Tabelle211[[#This Row],[Entfernung (km) einfach]]&lt;1000),Tabelle211[[#This Row],[Entfernung (km) gesamt]], 0), 0)*Tabelle211[[#This Row],[Anzahl Studierende ]]</f>
        <v>0</v>
      </c>
      <c r="P31" s="48">
        <f>IF(Tabelle211[[#This Row],[Verkehrsmittel]]="Flug", IF(AND(Tabelle211[[#This Row],[Entfernung (km) einfach]]&gt;1000,Tabelle211[[#This Row],[Entfernung (km) einfach]]&lt;2000),Tabelle211[[#This Row],[Entfernung (km) gesamt]], 0), 0)*Tabelle211[[#This Row],[Anzahl Studierende ]]</f>
        <v>0</v>
      </c>
      <c r="Q31" s="48">
        <f>IF(Tabelle211[[#This Row],[Verkehrsmittel]]="Flug", IF(AND(Tabelle211[[#This Row],[Entfernung (km) einfach]]&gt;2000,Tabelle211[[#This Row],[Entfernung (km) einfach]]&lt;5000),Tabelle211[[#This Row],[Entfernung (km) gesamt]], 0), 0)*Tabelle211[[#This Row],[Anzahl Studierende ]]</f>
        <v>0</v>
      </c>
      <c r="R31" s="48">
        <f>IF(Tabelle211[[#This Row],[Verkehrsmittel]]="Flug", IF(AND(Tabelle211[[#This Row],[Entfernung (km) einfach]]&gt;5000,Tabelle211[[#This Row],[Entfernung (km) einfach]]&lt;10000),Tabelle211[[#This Row],[Entfernung (km) gesamt]], 0), 0)*Tabelle211[[#This Row],[Anzahl Studierende ]]</f>
        <v>0</v>
      </c>
      <c r="S31" s="36">
        <f>IF(Tabelle211[[#This Row],[Verkehrsmittel]]="Flug", IF(AND(Tabelle211[[#This Row],[Entfernung (km) einfach]]&gt;10000),Tabelle211[[#This Row],[Entfernung (km) gesamt]]), 0)*Tabelle211[[#This Row],[Anzahl Studierende ]]</f>
        <v>0</v>
      </c>
      <c r="T31" s="36">
        <f>IF(Tabelle211[[#This Row],[Verkehrsmittel]]="Motorrad",Tabelle211[[#This Row],[Entfernung (km) gesamt]],0)*Tabelle211[[#This Row],[Anzahl Studierende ]]</f>
        <v>0</v>
      </c>
      <c r="U31" s="36">
        <f>IF(Tabelle211[[#This Row],[Verkehrsmittel]]="Straßen-, S-, U-Bahn",Tabelle211[[#This Row],[Entfernung (km) gesamt]],0)*Tabelle211[[#This Row],[Anzahl Studierende ]]</f>
        <v>0</v>
      </c>
      <c r="V31" s="36">
        <f>IF(Tabelle211[[#This Row],[Verkehrsmittel]]="Fahrrad",Tabelle211[[#This Row],[Entfernung (km) gesamt]],0)*Tabelle211[[#This Row],[Anzahl Studierende ]]</f>
        <v>0</v>
      </c>
    </row>
    <row r="32" spans="2:22" ht="15.6">
      <c r="B32" s="138"/>
      <c r="C32" s="139"/>
      <c r="D32" s="160"/>
      <c r="E32" s="111"/>
      <c r="F32" s="111"/>
      <c r="G32" s="111"/>
      <c r="H32" s="117">
        <f>Tabelle211[[#This Row],[Entfernung (km) einfach]]*2</f>
        <v>0</v>
      </c>
      <c r="I32" s="111"/>
      <c r="J32" s="140"/>
      <c r="K32" s="47">
        <f>IF(Tabelle211[[#This Row],[Verkehrsmittel]]="Bus",Tabelle211[[#This Row],[Entfernung (km) gesamt]],0)*Tabelle211[[#This Row],[Anzahl Studierende ]]</f>
        <v>0</v>
      </c>
      <c r="L32" s="48">
        <f>IF(Tabelle211[[#This Row],[Verkehrsmittel]]="Bahn",Tabelle211[[#This Row],[Anzahl Studierende ]]*Tabelle211[[#This Row],[Entfernung (km) gesamt]],0)</f>
        <v>0</v>
      </c>
      <c r="M32" s="47">
        <f>IF(Tabelle211[[#This Row],[Verkehrsmittel]]="PKW",Tabelle211[[#This Row],[Anzahl Studierende ]]*Tabelle211[[#This Row],[Entfernung (km) gesamt]],0)</f>
        <v>0</v>
      </c>
      <c r="N32" s="48">
        <f>IF(Tabelle211[[#This Row],[Verkehrsmittel]]="Flug", IF(AND(Tabelle211[[#This Row],[Entfernung (km) einfach]]&lt;500),Tabelle211[[#This Row],[Entfernung (km) gesamt]]), 0)*Tabelle211[[#This Row],[Anzahl Studierende ]]</f>
        <v>0</v>
      </c>
      <c r="O32" s="48">
        <f>IF(Tabelle211[[#This Row],[Verkehrsmittel]]="Flug", IF(AND(Tabelle211[[#This Row],[Entfernung (km) einfach]]&gt;500,Tabelle211[[#This Row],[Entfernung (km) einfach]]&lt;1000),Tabelle211[[#This Row],[Entfernung (km) gesamt]], 0), 0)*Tabelle211[[#This Row],[Anzahl Studierende ]]</f>
        <v>0</v>
      </c>
      <c r="P32" s="48">
        <f>IF(Tabelle211[[#This Row],[Verkehrsmittel]]="Flug", IF(AND(Tabelle211[[#This Row],[Entfernung (km) einfach]]&gt;1000,Tabelle211[[#This Row],[Entfernung (km) einfach]]&lt;2000),Tabelle211[[#This Row],[Entfernung (km) gesamt]], 0), 0)*Tabelle211[[#This Row],[Anzahl Studierende ]]</f>
        <v>0</v>
      </c>
      <c r="Q32" s="48">
        <f>IF(Tabelle211[[#This Row],[Verkehrsmittel]]="Flug", IF(AND(Tabelle211[[#This Row],[Entfernung (km) einfach]]&gt;2000,Tabelle211[[#This Row],[Entfernung (km) einfach]]&lt;5000),Tabelle211[[#This Row],[Entfernung (km) gesamt]], 0), 0)*Tabelle211[[#This Row],[Anzahl Studierende ]]</f>
        <v>0</v>
      </c>
      <c r="R32" s="48">
        <f>IF(Tabelle211[[#This Row],[Verkehrsmittel]]="Flug", IF(AND(Tabelle211[[#This Row],[Entfernung (km) einfach]]&gt;5000,Tabelle211[[#This Row],[Entfernung (km) einfach]]&lt;10000),Tabelle211[[#This Row],[Entfernung (km) gesamt]], 0), 0)*Tabelle211[[#This Row],[Anzahl Studierende ]]</f>
        <v>0</v>
      </c>
      <c r="S32" s="36">
        <f>IF(Tabelle211[[#This Row],[Verkehrsmittel]]="Flug", IF(AND(Tabelle211[[#This Row],[Entfernung (km) einfach]]&gt;10000),Tabelle211[[#This Row],[Entfernung (km) gesamt]]), 0)*Tabelle211[[#This Row],[Anzahl Studierende ]]</f>
        <v>0</v>
      </c>
      <c r="T32" s="36">
        <f>IF(Tabelle211[[#This Row],[Verkehrsmittel]]="Motorrad",Tabelle211[[#This Row],[Entfernung (km) gesamt]],0)*Tabelle211[[#This Row],[Anzahl Studierende ]]</f>
        <v>0</v>
      </c>
      <c r="U32" s="36">
        <f>IF(Tabelle211[[#This Row],[Verkehrsmittel]]="Straßen-, S-, U-Bahn",Tabelle211[[#This Row],[Entfernung (km) gesamt]],0)*Tabelle211[[#This Row],[Anzahl Studierende ]]</f>
        <v>0</v>
      </c>
      <c r="V32" s="36">
        <f>IF(Tabelle211[[#This Row],[Verkehrsmittel]]="Fahrrad",Tabelle211[[#This Row],[Entfernung (km) gesamt]],0)*Tabelle211[[#This Row],[Anzahl Studierende ]]</f>
        <v>0</v>
      </c>
    </row>
    <row r="33" spans="2:22" ht="15.6">
      <c r="B33" s="138"/>
      <c r="C33" s="139"/>
      <c r="D33" s="160"/>
      <c r="E33" s="111"/>
      <c r="F33" s="111"/>
      <c r="G33" s="111"/>
      <c r="H33" s="117">
        <f>Tabelle211[[#This Row],[Entfernung (km) einfach]]*2</f>
        <v>0</v>
      </c>
      <c r="I33" s="111"/>
      <c r="J33" s="140"/>
      <c r="K33" s="47">
        <f>IF(Tabelle211[[#This Row],[Verkehrsmittel]]="Bus",Tabelle211[[#This Row],[Entfernung (km) gesamt]],0)*Tabelle211[[#This Row],[Anzahl Studierende ]]</f>
        <v>0</v>
      </c>
      <c r="L33" s="48">
        <f>IF(Tabelle211[[#This Row],[Verkehrsmittel]]="Bahn",Tabelle211[[#This Row],[Anzahl Studierende ]]*Tabelle211[[#This Row],[Entfernung (km) gesamt]],0)</f>
        <v>0</v>
      </c>
      <c r="M33" s="47">
        <f>IF(Tabelle211[[#This Row],[Verkehrsmittel]]="PKW",Tabelle211[[#This Row],[Anzahl Studierende ]]*Tabelle211[[#This Row],[Entfernung (km) gesamt]],0)</f>
        <v>0</v>
      </c>
      <c r="N33" s="48">
        <f>IF(Tabelle211[[#This Row],[Verkehrsmittel]]="Flug", IF(AND(Tabelle211[[#This Row],[Entfernung (km) einfach]]&lt;500),Tabelle211[[#This Row],[Entfernung (km) gesamt]]), 0)*Tabelle211[[#This Row],[Anzahl Studierende ]]</f>
        <v>0</v>
      </c>
      <c r="O33" s="48">
        <f>IF(Tabelle211[[#This Row],[Verkehrsmittel]]="Flug", IF(AND(Tabelle211[[#This Row],[Entfernung (km) einfach]]&gt;500,Tabelle211[[#This Row],[Entfernung (km) einfach]]&lt;1000),Tabelle211[[#This Row],[Entfernung (km) gesamt]], 0), 0)*Tabelle211[[#This Row],[Anzahl Studierende ]]</f>
        <v>0</v>
      </c>
      <c r="P33" s="48">
        <f>IF(Tabelle211[[#This Row],[Verkehrsmittel]]="Flug", IF(AND(Tabelle211[[#This Row],[Entfernung (km) einfach]]&gt;1000,Tabelle211[[#This Row],[Entfernung (km) einfach]]&lt;2000),Tabelle211[[#This Row],[Entfernung (km) gesamt]], 0), 0)*Tabelle211[[#This Row],[Anzahl Studierende ]]</f>
        <v>0</v>
      </c>
      <c r="Q33" s="48">
        <f>IF(Tabelle211[[#This Row],[Verkehrsmittel]]="Flug", IF(AND(Tabelle211[[#This Row],[Entfernung (km) einfach]]&gt;2000,Tabelle211[[#This Row],[Entfernung (km) einfach]]&lt;5000),Tabelle211[[#This Row],[Entfernung (km) gesamt]], 0), 0)*Tabelle211[[#This Row],[Anzahl Studierende ]]</f>
        <v>0</v>
      </c>
      <c r="R33" s="48">
        <f>IF(Tabelle211[[#This Row],[Verkehrsmittel]]="Flug", IF(AND(Tabelle211[[#This Row],[Entfernung (km) einfach]]&gt;5000,Tabelle211[[#This Row],[Entfernung (km) einfach]]&lt;10000),Tabelle211[[#This Row],[Entfernung (km) gesamt]], 0), 0)*Tabelle211[[#This Row],[Anzahl Studierende ]]</f>
        <v>0</v>
      </c>
      <c r="S33" s="36">
        <f>IF(Tabelle211[[#This Row],[Verkehrsmittel]]="Flug", IF(AND(Tabelle211[[#This Row],[Entfernung (km) einfach]]&gt;10000),Tabelle211[[#This Row],[Entfernung (km) gesamt]]), 0)*Tabelle211[[#This Row],[Anzahl Studierende ]]</f>
        <v>0</v>
      </c>
      <c r="T33" s="36">
        <f>IF(Tabelle211[[#This Row],[Verkehrsmittel]]="Motorrad",Tabelle211[[#This Row],[Entfernung (km) gesamt]],0)*Tabelle211[[#This Row],[Anzahl Studierende ]]</f>
        <v>0</v>
      </c>
      <c r="U33" s="36">
        <f>IF(Tabelle211[[#This Row],[Verkehrsmittel]]="Straßen-, S-, U-Bahn",Tabelle211[[#This Row],[Entfernung (km) gesamt]],0)*Tabelle211[[#This Row],[Anzahl Studierende ]]</f>
        <v>0</v>
      </c>
      <c r="V33" s="36">
        <f>IF(Tabelle211[[#This Row],[Verkehrsmittel]]="Fahrrad",Tabelle211[[#This Row],[Entfernung (km) gesamt]],0)*Tabelle211[[#This Row],[Anzahl Studierende ]]</f>
        <v>0</v>
      </c>
    </row>
    <row r="34" spans="2:22" ht="15.6">
      <c r="B34" s="138"/>
      <c r="C34" s="139"/>
      <c r="D34" s="160"/>
      <c r="E34" s="111"/>
      <c r="F34" s="111"/>
      <c r="G34" s="111"/>
      <c r="H34" s="117">
        <f>Tabelle211[[#This Row],[Entfernung (km) einfach]]*2</f>
        <v>0</v>
      </c>
      <c r="I34" s="111"/>
      <c r="J34" s="140"/>
      <c r="K34" s="47">
        <f>IF(Tabelle211[[#This Row],[Verkehrsmittel]]="Bus",Tabelle211[[#This Row],[Entfernung (km) gesamt]],0)*Tabelle211[[#This Row],[Anzahl Studierende ]]</f>
        <v>0</v>
      </c>
      <c r="L34" s="48">
        <f>IF(Tabelle211[[#This Row],[Verkehrsmittel]]="Bahn",Tabelle211[[#This Row],[Anzahl Studierende ]]*Tabelle211[[#This Row],[Entfernung (km) gesamt]],0)</f>
        <v>0</v>
      </c>
      <c r="M34" s="47">
        <f>IF(Tabelle211[[#This Row],[Verkehrsmittel]]="PKW",Tabelle211[[#This Row],[Anzahl Studierende ]]*Tabelle211[[#This Row],[Entfernung (km) gesamt]],0)</f>
        <v>0</v>
      </c>
      <c r="N34" s="48">
        <f>IF(Tabelle211[[#This Row],[Verkehrsmittel]]="Flug", IF(AND(Tabelle211[[#This Row],[Entfernung (km) einfach]]&lt;500),Tabelle211[[#This Row],[Entfernung (km) gesamt]]), 0)*Tabelle211[[#This Row],[Anzahl Studierende ]]</f>
        <v>0</v>
      </c>
      <c r="O34" s="48">
        <f>IF(Tabelle211[[#This Row],[Verkehrsmittel]]="Flug", IF(AND(Tabelle211[[#This Row],[Entfernung (km) einfach]]&gt;500,Tabelle211[[#This Row],[Entfernung (km) einfach]]&lt;1000),Tabelle211[[#This Row],[Entfernung (km) gesamt]], 0), 0)*Tabelle211[[#This Row],[Anzahl Studierende ]]</f>
        <v>0</v>
      </c>
      <c r="P34" s="48">
        <f>IF(Tabelle211[[#This Row],[Verkehrsmittel]]="Flug", IF(AND(Tabelle211[[#This Row],[Entfernung (km) einfach]]&gt;1000,Tabelle211[[#This Row],[Entfernung (km) einfach]]&lt;2000),Tabelle211[[#This Row],[Entfernung (km) gesamt]], 0), 0)*Tabelle211[[#This Row],[Anzahl Studierende ]]</f>
        <v>0</v>
      </c>
      <c r="Q34" s="48">
        <f>IF(Tabelle211[[#This Row],[Verkehrsmittel]]="Flug", IF(AND(Tabelle211[[#This Row],[Entfernung (km) einfach]]&gt;2000,Tabelle211[[#This Row],[Entfernung (km) einfach]]&lt;5000),Tabelle211[[#This Row],[Entfernung (km) gesamt]], 0), 0)*Tabelle211[[#This Row],[Anzahl Studierende ]]</f>
        <v>0</v>
      </c>
      <c r="R34" s="48">
        <f>IF(Tabelle211[[#This Row],[Verkehrsmittel]]="Flug", IF(AND(Tabelle211[[#This Row],[Entfernung (km) einfach]]&gt;5000,Tabelle211[[#This Row],[Entfernung (km) einfach]]&lt;10000),Tabelle211[[#This Row],[Entfernung (km) gesamt]], 0), 0)*Tabelle211[[#This Row],[Anzahl Studierende ]]</f>
        <v>0</v>
      </c>
      <c r="S34" s="36">
        <f>IF(Tabelle211[[#This Row],[Verkehrsmittel]]="Flug", IF(AND(Tabelle211[[#This Row],[Entfernung (km) einfach]]&gt;10000),Tabelle211[[#This Row],[Entfernung (km) gesamt]]), 0)*Tabelle211[[#This Row],[Anzahl Studierende ]]</f>
        <v>0</v>
      </c>
      <c r="T34" s="36">
        <f>IF(Tabelle211[[#This Row],[Verkehrsmittel]]="Motorrad",Tabelle211[[#This Row],[Entfernung (km) gesamt]],0)*Tabelle211[[#This Row],[Anzahl Studierende ]]</f>
        <v>0</v>
      </c>
      <c r="U34" s="36">
        <f>IF(Tabelle211[[#This Row],[Verkehrsmittel]]="Straßen-, S-, U-Bahn",Tabelle211[[#This Row],[Entfernung (km) gesamt]],0)*Tabelle211[[#This Row],[Anzahl Studierende ]]</f>
        <v>0</v>
      </c>
      <c r="V34" s="36">
        <f>IF(Tabelle211[[#This Row],[Verkehrsmittel]]="Fahrrad",Tabelle211[[#This Row],[Entfernung (km) gesamt]],0)*Tabelle211[[#This Row],[Anzahl Studierende ]]</f>
        <v>0</v>
      </c>
    </row>
    <row r="35" spans="2:22" ht="15.6">
      <c r="B35" s="138"/>
      <c r="C35" s="139"/>
      <c r="D35" s="160"/>
      <c r="E35" s="111"/>
      <c r="F35" s="111"/>
      <c r="G35" s="111"/>
      <c r="H35" s="117">
        <f>Tabelle211[[#This Row],[Entfernung (km) einfach]]*2</f>
        <v>0</v>
      </c>
      <c r="I35" s="111"/>
      <c r="J35" s="140"/>
      <c r="K35" s="47">
        <f>IF(Tabelle211[[#This Row],[Verkehrsmittel]]="Bus",Tabelle211[[#This Row],[Entfernung (km) gesamt]],0)*Tabelle211[[#This Row],[Anzahl Studierende ]]</f>
        <v>0</v>
      </c>
      <c r="L35" s="48">
        <f>IF(Tabelle211[[#This Row],[Verkehrsmittel]]="Bahn",Tabelle211[[#This Row],[Anzahl Studierende ]]*Tabelle211[[#This Row],[Entfernung (km) gesamt]],0)</f>
        <v>0</v>
      </c>
      <c r="M35" s="47">
        <f>IF(Tabelle211[[#This Row],[Verkehrsmittel]]="PKW",Tabelle211[[#This Row],[Anzahl Studierende ]]*Tabelle211[[#This Row],[Entfernung (km) gesamt]],0)</f>
        <v>0</v>
      </c>
      <c r="N35" s="48">
        <f>IF(Tabelle211[[#This Row],[Verkehrsmittel]]="Flug", IF(AND(Tabelle211[[#This Row],[Entfernung (km) einfach]]&lt;500),Tabelle211[[#This Row],[Entfernung (km) gesamt]]), 0)*Tabelle211[[#This Row],[Anzahl Studierende ]]</f>
        <v>0</v>
      </c>
      <c r="O35" s="48">
        <f>IF(Tabelle211[[#This Row],[Verkehrsmittel]]="Flug", IF(AND(Tabelle211[[#This Row],[Entfernung (km) einfach]]&gt;500,Tabelle211[[#This Row],[Entfernung (km) einfach]]&lt;1000),Tabelle211[[#This Row],[Entfernung (km) gesamt]], 0), 0)*Tabelle211[[#This Row],[Anzahl Studierende ]]</f>
        <v>0</v>
      </c>
      <c r="P35" s="48">
        <f>IF(Tabelle211[[#This Row],[Verkehrsmittel]]="Flug", IF(AND(Tabelle211[[#This Row],[Entfernung (km) einfach]]&gt;1000,Tabelle211[[#This Row],[Entfernung (km) einfach]]&lt;2000),Tabelle211[[#This Row],[Entfernung (km) gesamt]], 0), 0)*Tabelle211[[#This Row],[Anzahl Studierende ]]</f>
        <v>0</v>
      </c>
      <c r="Q35" s="48">
        <f>IF(Tabelle211[[#This Row],[Verkehrsmittel]]="Flug", IF(AND(Tabelle211[[#This Row],[Entfernung (km) einfach]]&gt;2000,Tabelle211[[#This Row],[Entfernung (km) einfach]]&lt;5000),Tabelle211[[#This Row],[Entfernung (km) gesamt]], 0), 0)*Tabelle211[[#This Row],[Anzahl Studierende ]]</f>
        <v>0</v>
      </c>
      <c r="R35" s="48">
        <f>IF(Tabelle211[[#This Row],[Verkehrsmittel]]="Flug", IF(AND(Tabelle211[[#This Row],[Entfernung (km) einfach]]&gt;5000,Tabelle211[[#This Row],[Entfernung (km) einfach]]&lt;10000),Tabelle211[[#This Row],[Entfernung (km) gesamt]], 0), 0)*Tabelle211[[#This Row],[Anzahl Studierende ]]</f>
        <v>0</v>
      </c>
      <c r="S35" s="36">
        <f>IF(Tabelle211[[#This Row],[Verkehrsmittel]]="Flug", IF(AND(Tabelle211[[#This Row],[Entfernung (km) einfach]]&gt;10000),Tabelle211[[#This Row],[Entfernung (km) gesamt]]), 0)*Tabelle211[[#This Row],[Anzahl Studierende ]]</f>
        <v>0</v>
      </c>
      <c r="T35" s="36">
        <f>IF(Tabelle211[[#This Row],[Verkehrsmittel]]="Motorrad",Tabelle211[[#This Row],[Entfernung (km) gesamt]],0)*Tabelle211[[#This Row],[Anzahl Studierende ]]</f>
        <v>0</v>
      </c>
      <c r="U35" s="36">
        <f>IF(Tabelle211[[#This Row],[Verkehrsmittel]]="Straßen-, S-, U-Bahn",Tabelle211[[#This Row],[Entfernung (km) gesamt]],0)*Tabelle211[[#This Row],[Anzahl Studierende ]]</f>
        <v>0</v>
      </c>
      <c r="V35" s="36">
        <f>IF(Tabelle211[[#This Row],[Verkehrsmittel]]="Fahrrad",Tabelle211[[#This Row],[Entfernung (km) gesamt]],0)*Tabelle211[[#This Row],[Anzahl Studierende ]]</f>
        <v>0</v>
      </c>
    </row>
    <row r="36" spans="2:22" ht="15.6">
      <c r="B36" s="138"/>
      <c r="C36" s="139"/>
      <c r="D36" s="160"/>
      <c r="E36" s="111"/>
      <c r="F36" s="111"/>
      <c r="G36" s="111"/>
      <c r="H36" s="117">
        <f>Tabelle211[[#This Row],[Entfernung (km) einfach]]*2</f>
        <v>0</v>
      </c>
      <c r="I36" s="111"/>
      <c r="J36" s="140"/>
      <c r="K36" s="47">
        <f>IF(Tabelle211[[#This Row],[Verkehrsmittel]]="Bus",Tabelle211[[#This Row],[Entfernung (km) gesamt]],0)*Tabelle211[[#This Row],[Anzahl Studierende ]]</f>
        <v>0</v>
      </c>
      <c r="L36" s="48">
        <f>IF(Tabelle211[[#This Row],[Verkehrsmittel]]="Bahn",Tabelle211[[#This Row],[Anzahl Studierende ]]*Tabelle211[[#This Row],[Entfernung (km) gesamt]],0)</f>
        <v>0</v>
      </c>
      <c r="M36" s="47">
        <f>IF(Tabelle211[[#This Row],[Verkehrsmittel]]="PKW",Tabelle211[[#This Row],[Anzahl Studierende ]]*Tabelle211[[#This Row],[Entfernung (km) gesamt]],0)</f>
        <v>0</v>
      </c>
      <c r="N36" s="48">
        <f>IF(Tabelle211[[#This Row],[Verkehrsmittel]]="Flug", IF(AND(Tabelle211[[#This Row],[Entfernung (km) einfach]]&lt;500),Tabelle211[[#This Row],[Entfernung (km) gesamt]]), 0)*Tabelle211[[#This Row],[Anzahl Studierende ]]</f>
        <v>0</v>
      </c>
      <c r="O36" s="48">
        <f>IF(Tabelle211[[#This Row],[Verkehrsmittel]]="Flug", IF(AND(Tabelle211[[#This Row],[Entfernung (km) einfach]]&gt;500,Tabelle211[[#This Row],[Entfernung (km) einfach]]&lt;1000),Tabelle211[[#This Row],[Entfernung (km) gesamt]], 0), 0)*Tabelle211[[#This Row],[Anzahl Studierende ]]</f>
        <v>0</v>
      </c>
      <c r="P36" s="48">
        <f>IF(Tabelle211[[#This Row],[Verkehrsmittel]]="Flug", IF(AND(Tabelle211[[#This Row],[Entfernung (km) einfach]]&gt;1000,Tabelle211[[#This Row],[Entfernung (km) einfach]]&lt;2000),Tabelle211[[#This Row],[Entfernung (km) gesamt]], 0), 0)*Tabelle211[[#This Row],[Anzahl Studierende ]]</f>
        <v>0</v>
      </c>
      <c r="Q36" s="48">
        <f>IF(Tabelle211[[#This Row],[Verkehrsmittel]]="Flug", IF(AND(Tabelle211[[#This Row],[Entfernung (km) einfach]]&gt;2000,Tabelle211[[#This Row],[Entfernung (km) einfach]]&lt;5000),Tabelle211[[#This Row],[Entfernung (km) gesamt]], 0), 0)*Tabelle211[[#This Row],[Anzahl Studierende ]]</f>
        <v>0</v>
      </c>
      <c r="R36" s="48">
        <f>IF(Tabelle211[[#This Row],[Verkehrsmittel]]="Flug", IF(AND(Tabelle211[[#This Row],[Entfernung (km) einfach]]&gt;5000,Tabelle211[[#This Row],[Entfernung (km) einfach]]&lt;10000),Tabelle211[[#This Row],[Entfernung (km) gesamt]], 0), 0)*Tabelle211[[#This Row],[Anzahl Studierende ]]</f>
        <v>0</v>
      </c>
      <c r="S36" s="36">
        <f>IF(Tabelle211[[#This Row],[Verkehrsmittel]]="Flug", IF(AND(Tabelle211[[#This Row],[Entfernung (km) einfach]]&gt;10000),Tabelle211[[#This Row],[Entfernung (km) gesamt]]), 0)*Tabelle211[[#This Row],[Anzahl Studierende ]]</f>
        <v>0</v>
      </c>
      <c r="T36" s="36">
        <f>IF(Tabelle211[[#This Row],[Verkehrsmittel]]="Motorrad",Tabelle211[[#This Row],[Entfernung (km) gesamt]],0)*Tabelle211[[#This Row],[Anzahl Studierende ]]</f>
        <v>0</v>
      </c>
      <c r="U36" s="36">
        <f>IF(Tabelle211[[#This Row],[Verkehrsmittel]]="Straßen-, S-, U-Bahn",Tabelle211[[#This Row],[Entfernung (km) gesamt]],0)*Tabelle211[[#This Row],[Anzahl Studierende ]]</f>
        <v>0</v>
      </c>
      <c r="V36" s="36">
        <f>IF(Tabelle211[[#This Row],[Verkehrsmittel]]="Fahrrad",Tabelle211[[#This Row],[Entfernung (km) gesamt]],0)*Tabelle211[[#This Row],[Anzahl Studierende ]]</f>
        <v>0</v>
      </c>
    </row>
    <row r="37" spans="2:22" ht="15.6">
      <c r="B37" s="138"/>
      <c r="C37" s="139"/>
      <c r="D37" s="160"/>
      <c r="E37" s="111"/>
      <c r="F37" s="111"/>
      <c r="G37" s="111"/>
      <c r="H37" s="117">
        <f>Tabelle211[[#This Row],[Entfernung (km) einfach]]*2</f>
        <v>0</v>
      </c>
      <c r="I37" s="111"/>
      <c r="J37" s="140"/>
      <c r="K37" s="47">
        <f>IF(Tabelle211[[#This Row],[Verkehrsmittel]]="Bus",Tabelle211[[#This Row],[Entfernung (km) gesamt]],0)*Tabelle211[[#This Row],[Anzahl Studierende ]]</f>
        <v>0</v>
      </c>
      <c r="L37" s="48">
        <f>IF(Tabelle211[[#This Row],[Verkehrsmittel]]="Bahn",Tabelle211[[#This Row],[Anzahl Studierende ]]*Tabelle211[[#This Row],[Entfernung (km) gesamt]],0)</f>
        <v>0</v>
      </c>
      <c r="M37" s="47">
        <f>IF(Tabelle211[[#This Row],[Verkehrsmittel]]="PKW",Tabelle211[[#This Row],[Anzahl Studierende ]]*Tabelle211[[#This Row],[Entfernung (km) gesamt]],0)</f>
        <v>0</v>
      </c>
      <c r="N37" s="48">
        <f>IF(Tabelle211[[#This Row],[Verkehrsmittel]]="Flug", IF(AND(Tabelle211[[#This Row],[Entfernung (km) einfach]]&lt;500),Tabelle211[[#This Row],[Entfernung (km) gesamt]]), 0)*Tabelle211[[#This Row],[Anzahl Studierende ]]</f>
        <v>0</v>
      </c>
      <c r="O37" s="48">
        <f>IF(Tabelle211[[#This Row],[Verkehrsmittel]]="Flug", IF(AND(Tabelle211[[#This Row],[Entfernung (km) einfach]]&gt;500,Tabelle211[[#This Row],[Entfernung (km) einfach]]&lt;1000),Tabelle211[[#This Row],[Entfernung (km) gesamt]], 0), 0)*Tabelle211[[#This Row],[Anzahl Studierende ]]</f>
        <v>0</v>
      </c>
      <c r="P37" s="48">
        <f>IF(Tabelle211[[#This Row],[Verkehrsmittel]]="Flug", IF(AND(Tabelle211[[#This Row],[Entfernung (km) einfach]]&gt;1000,Tabelle211[[#This Row],[Entfernung (km) einfach]]&lt;2000),Tabelle211[[#This Row],[Entfernung (km) gesamt]], 0), 0)*Tabelle211[[#This Row],[Anzahl Studierende ]]</f>
        <v>0</v>
      </c>
      <c r="Q37" s="48">
        <f>IF(Tabelle211[[#This Row],[Verkehrsmittel]]="Flug", IF(AND(Tabelle211[[#This Row],[Entfernung (km) einfach]]&gt;2000,Tabelle211[[#This Row],[Entfernung (km) einfach]]&lt;5000),Tabelle211[[#This Row],[Entfernung (km) gesamt]], 0), 0)*Tabelle211[[#This Row],[Anzahl Studierende ]]</f>
        <v>0</v>
      </c>
      <c r="R37" s="48">
        <f>IF(Tabelle211[[#This Row],[Verkehrsmittel]]="Flug", IF(AND(Tabelle211[[#This Row],[Entfernung (km) einfach]]&gt;5000,Tabelle211[[#This Row],[Entfernung (km) einfach]]&lt;10000),Tabelle211[[#This Row],[Entfernung (km) gesamt]], 0), 0)*Tabelle211[[#This Row],[Anzahl Studierende ]]</f>
        <v>0</v>
      </c>
      <c r="S37" s="36">
        <f>IF(Tabelle211[[#This Row],[Verkehrsmittel]]="Flug", IF(AND(Tabelle211[[#This Row],[Entfernung (km) einfach]]&gt;10000),Tabelle211[[#This Row],[Entfernung (km) gesamt]]), 0)*Tabelle211[[#This Row],[Anzahl Studierende ]]</f>
        <v>0</v>
      </c>
      <c r="T37" s="36">
        <f>IF(Tabelle211[[#This Row],[Verkehrsmittel]]="Motorrad",Tabelle211[[#This Row],[Entfernung (km) gesamt]],0)*Tabelle211[[#This Row],[Anzahl Studierende ]]</f>
        <v>0</v>
      </c>
      <c r="U37" s="36">
        <f>IF(Tabelle211[[#This Row],[Verkehrsmittel]]="Straßen-, S-, U-Bahn",Tabelle211[[#This Row],[Entfernung (km) gesamt]],0)*Tabelle211[[#This Row],[Anzahl Studierende ]]</f>
        <v>0</v>
      </c>
      <c r="V37" s="36">
        <f>IF(Tabelle211[[#This Row],[Verkehrsmittel]]="Fahrrad",Tabelle211[[#This Row],[Entfernung (km) gesamt]],0)*Tabelle211[[#This Row],[Anzahl Studierende ]]</f>
        <v>0</v>
      </c>
    </row>
    <row r="38" spans="2:22" ht="15.6">
      <c r="B38" s="138"/>
      <c r="C38" s="139"/>
      <c r="D38" s="160"/>
      <c r="E38" s="111"/>
      <c r="F38" s="111"/>
      <c r="G38" s="111"/>
      <c r="H38" s="117">
        <f>Tabelle211[[#This Row],[Entfernung (km) einfach]]*2</f>
        <v>0</v>
      </c>
      <c r="I38" s="111"/>
      <c r="J38" s="140"/>
      <c r="K38" s="6">
        <f>IF(Tabelle211[[#This Row],[Verkehrsmittel]]="Bus",Tabelle211[[#This Row],[Entfernung (km) gesamt]],0)*Tabelle211[[#This Row],[Anzahl Studierende ]]</f>
        <v>0</v>
      </c>
      <c r="L38" s="7">
        <f>IF(Tabelle211[[#This Row],[Verkehrsmittel]]="Bahn",Tabelle211[[#This Row],[Anzahl Studierende ]]*Tabelle211[[#This Row],[Entfernung (km) gesamt]],0)</f>
        <v>0</v>
      </c>
      <c r="M38" s="6">
        <f>IF(Tabelle211[[#This Row],[Verkehrsmittel]]="PKW",Tabelle211[[#This Row],[Anzahl Studierende ]]*Tabelle211[[#This Row],[Entfernung (km) gesamt]],0)</f>
        <v>0</v>
      </c>
      <c r="N38" s="7">
        <f>IF(Tabelle211[[#This Row],[Verkehrsmittel]]="Flug", IF(AND(Tabelle211[[#This Row],[Entfernung (km) einfach]]&lt;500),Tabelle211[[#This Row],[Entfernung (km) gesamt]]), 0)*Tabelle211[[#This Row],[Anzahl Studierende ]]</f>
        <v>0</v>
      </c>
      <c r="O38" s="7">
        <f>IF(Tabelle211[[#This Row],[Verkehrsmittel]]="Flug", IF(AND(Tabelle211[[#This Row],[Entfernung (km) einfach]]&gt;500,Tabelle211[[#This Row],[Entfernung (km) einfach]]&lt;1000),Tabelle211[[#This Row],[Entfernung (km) gesamt]], 0), 0)*Tabelle211[[#This Row],[Anzahl Studierende ]]</f>
        <v>0</v>
      </c>
      <c r="P38" s="7">
        <f>IF(Tabelle211[[#This Row],[Verkehrsmittel]]="Flug", IF(AND(Tabelle211[[#This Row],[Entfernung (km) einfach]]&gt;1000,Tabelle211[[#This Row],[Entfernung (km) einfach]]&lt;2000),Tabelle211[[#This Row],[Entfernung (km) gesamt]], 0), 0)*Tabelle211[[#This Row],[Anzahl Studierende ]]</f>
        <v>0</v>
      </c>
      <c r="Q38" s="7">
        <f>IF(Tabelle211[[#This Row],[Verkehrsmittel]]="Flug", IF(AND(Tabelle211[[#This Row],[Entfernung (km) einfach]]&gt;2000,Tabelle211[[#This Row],[Entfernung (km) einfach]]&lt;5000),Tabelle211[[#This Row],[Entfernung (km) gesamt]], 0), 0)*Tabelle211[[#This Row],[Anzahl Studierende ]]</f>
        <v>0</v>
      </c>
      <c r="R38" s="7">
        <f>IF(Tabelle211[[#This Row],[Verkehrsmittel]]="Flug", IF(AND(Tabelle211[[#This Row],[Entfernung (km) einfach]]&gt;5000,Tabelle211[[#This Row],[Entfernung (km) einfach]]&lt;10000),Tabelle211[[#This Row],[Entfernung (km) gesamt]], 0), 0)*Tabelle211[[#This Row],[Anzahl Studierende ]]</f>
        <v>0</v>
      </c>
      <c r="S38">
        <f>IF(Tabelle211[[#This Row],[Verkehrsmittel]]="Flug", IF(AND(Tabelle211[[#This Row],[Entfernung (km) einfach]]&gt;10000),Tabelle211[[#This Row],[Entfernung (km) gesamt]]), 0)*Tabelle211[[#This Row],[Anzahl Studierende ]]</f>
        <v>0</v>
      </c>
      <c r="T38">
        <f>IF(Tabelle211[[#This Row],[Verkehrsmittel]]="Motorrad",Tabelle211[[#This Row],[Entfernung (km) gesamt]],0)*Tabelle211[[#This Row],[Anzahl Studierende ]]</f>
        <v>0</v>
      </c>
      <c r="U38">
        <f>IF(Tabelle211[[#This Row],[Verkehrsmittel]]="Straßen-, S-, U-Bahn",Tabelle211[[#This Row],[Entfernung (km) gesamt]],0)*Tabelle211[[#This Row],[Anzahl Studierende ]]</f>
        <v>0</v>
      </c>
      <c r="V38">
        <f>IF(Tabelle211[[#This Row],[Verkehrsmittel]]="Fahrrad",Tabelle211[[#This Row],[Entfernung (km) gesamt]],0)*Tabelle211[[#This Row],[Anzahl Studierende ]]</f>
        <v>0</v>
      </c>
    </row>
    <row r="39" spans="2:22" ht="16.2" thickBot="1">
      <c r="B39" s="141"/>
      <c r="C39" s="142"/>
      <c r="D39" s="162"/>
      <c r="E39" s="122"/>
      <c r="F39" s="122"/>
      <c r="G39" s="122"/>
      <c r="H39" s="143">
        <f>Tabelle211[[#This Row],[Entfernung (km) einfach]]*2</f>
        <v>0</v>
      </c>
      <c r="I39" s="122"/>
      <c r="J39" s="144"/>
      <c r="K39" s="6">
        <f>IF(Tabelle211[[#This Row],[Verkehrsmittel]]="Bus",Tabelle211[[#This Row],[Entfernung (km) gesamt]],0)*Tabelle211[[#This Row],[Anzahl Studierende ]]</f>
        <v>0</v>
      </c>
      <c r="L39" s="7">
        <f>IF(Tabelle211[[#This Row],[Verkehrsmittel]]="Bahn",Tabelle211[[#This Row],[Anzahl Studierende ]]*Tabelle211[[#This Row],[Entfernung (km) gesamt]],0)</f>
        <v>0</v>
      </c>
      <c r="M39" s="6">
        <f>IF(Tabelle211[[#This Row],[Verkehrsmittel]]="PKW",Tabelle211[[#This Row],[Anzahl Studierende ]]*Tabelle211[[#This Row],[Entfernung (km) gesamt]],0)</f>
        <v>0</v>
      </c>
      <c r="N39" s="7">
        <f>IF(Tabelle211[[#This Row],[Verkehrsmittel]]="Flug", IF(AND(Tabelle211[[#This Row],[Entfernung (km) einfach]]&lt;500),Tabelle211[[#This Row],[Entfernung (km) gesamt]]), 0)*Tabelle211[[#This Row],[Anzahl Studierende ]]</f>
        <v>0</v>
      </c>
      <c r="O39" s="7">
        <f>IF(Tabelle211[[#This Row],[Verkehrsmittel]]="Flug", IF(AND(Tabelle211[[#This Row],[Entfernung (km) einfach]]&gt;500,Tabelle211[[#This Row],[Entfernung (km) einfach]]&lt;1000),Tabelle211[[#This Row],[Entfernung (km) gesamt]], 0), 0)*Tabelle211[[#This Row],[Anzahl Studierende ]]</f>
        <v>0</v>
      </c>
      <c r="P39" s="7">
        <f>IF(Tabelle211[[#This Row],[Verkehrsmittel]]="Flug", IF(AND(Tabelle211[[#This Row],[Entfernung (km) einfach]]&gt;1000,Tabelle211[[#This Row],[Entfernung (km) einfach]]&lt;2000),Tabelle211[[#This Row],[Entfernung (km) gesamt]], 0), 0)*Tabelle211[[#This Row],[Anzahl Studierende ]]</f>
        <v>0</v>
      </c>
      <c r="Q39" s="7">
        <f>IF(Tabelle211[[#This Row],[Verkehrsmittel]]="Flug", IF(AND(Tabelle211[[#This Row],[Entfernung (km) einfach]]&gt;2000,Tabelle211[[#This Row],[Entfernung (km) einfach]]&lt;5000),Tabelle211[[#This Row],[Entfernung (km) gesamt]], 0), 0)*Tabelle211[[#This Row],[Anzahl Studierende ]]</f>
        <v>0</v>
      </c>
      <c r="R39" s="7">
        <f>IF(Tabelle211[[#This Row],[Verkehrsmittel]]="Flug", IF(AND(Tabelle211[[#This Row],[Entfernung (km) einfach]]&gt;5000,Tabelle211[[#This Row],[Entfernung (km) einfach]]&lt;10000),Tabelle211[[#This Row],[Entfernung (km) gesamt]], 0), 0)*Tabelle211[[#This Row],[Anzahl Studierende ]]</f>
        <v>0</v>
      </c>
      <c r="S39">
        <f>IF(Tabelle211[[#This Row],[Verkehrsmittel]]="Flug", IF(AND(Tabelle211[[#This Row],[Entfernung (km) einfach]]&gt;10000),Tabelle211[[#This Row],[Entfernung (km) gesamt]]), 0)*Tabelle211[[#This Row],[Anzahl Studierende ]]</f>
        <v>0</v>
      </c>
      <c r="T39">
        <f>IF(Tabelle211[[#This Row],[Verkehrsmittel]]="Motorrad",Tabelle211[[#This Row],[Entfernung (km) gesamt]],0)*Tabelle211[[#This Row],[Anzahl Studierende ]]</f>
        <v>0</v>
      </c>
      <c r="U39">
        <f>IF(Tabelle211[[#This Row],[Verkehrsmittel]]="Straßen-, S-, U-Bahn",Tabelle211[[#This Row],[Entfernung (km) gesamt]],0)*Tabelle211[[#This Row],[Anzahl Studierende ]]</f>
        <v>0</v>
      </c>
      <c r="V39">
        <f>IF(Tabelle211[[#This Row],[Verkehrsmittel]]="Fahrrad",Tabelle211[[#This Row],[Entfernung (km) gesamt]],0)*Tabelle211[[#This Row],[Anzahl Studierende ]]</f>
        <v>0</v>
      </c>
    </row>
    <row r="40" spans="2:22" ht="14.4" thickBot="1">
      <c r="B40" s="163"/>
      <c r="C40" s="164"/>
      <c r="D40" s="165"/>
      <c r="E40" s="164"/>
      <c r="F40" s="164"/>
      <c r="G40" s="164"/>
      <c r="H40" s="164"/>
      <c r="I40" s="164"/>
      <c r="J40" s="166"/>
      <c r="K40">
        <f>SUM(Tabelle211[Km Bus])</f>
        <v>0</v>
      </c>
      <c r="L40">
        <f>SUM(Tabelle211[Km Bahn])</f>
        <v>0</v>
      </c>
      <c r="M40">
        <f>SUM(Tabelle211[Km PKW])</f>
        <v>0</v>
      </c>
      <c r="N40">
        <f>SUM(Tabelle211[Flug bis 500])</f>
        <v>0</v>
      </c>
      <c r="O40">
        <f>SUM(Tabelle211[Flug 500 - 1000 km])</f>
        <v>0</v>
      </c>
      <c r="P40">
        <f>SUM(Tabelle211[Flug 1000 - 2000])</f>
        <v>0</v>
      </c>
      <c r="Q40">
        <f>SUM(Tabelle211[Flug 2000 - 5000])</f>
        <v>0</v>
      </c>
      <c r="R40">
        <f>SUM(Tabelle211[Flug 5000 - 10000])</f>
        <v>0</v>
      </c>
      <c r="S40">
        <f>SUM(Tabelle211[Flug über 10000])</f>
        <v>0</v>
      </c>
      <c r="T40">
        <f>SUM(Tabelle211[Motorrad])</f>
        <v>0</v>
      </c>
      <c r="U40">
        <f>SUM(Tabelle211[Straßen-, S-, U-Bahn])</f>
        <v>0</v>
      </c>
      <c r="V40">
        <f>SUM(Tabelle211[Fahrrad])</f>
        <v>0</v>
      </c>
    </row>
  </sheetData>
  <sheetProtection algorithmName="SHA-512" hashValue="hrOSoBwZ+ISD8gYYXiJNAHkikJiWTiyxwYLmMkqK+liq1enl9p7yRqn+6l8IiqknDnBA3ZQ8AJr6UHmHMtZ56Q==" saltValue="uT9XaeHAseHsY6FUXyLwjQ==" spinCount="100000" sheet="1" objects="1" formatCells="0" formatColumns="0" formatRows="0" insertColumns="0" insertRows="0" insertHyperlinks="0" deleteColumns="0" deleteRows="0" sort="0" autoFilter="0" pivotTables="0"/>
  <mergeCells count="2">
    <mergeCell ref="B5:C5"/>
    <mergeCell ref="F2:G5"/>
  </mergeCells>
  <phoneticPr fontId="3" type="noConversion"/>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3628068-B755-4420-BD3F-4752588162B9}">
          <x14:formula1>
            <xm:f>Hilfstabelle!$A$1:$A$8</xm:f>
          </x14:formula1>
          <xm:sqref>I8:I39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0"/>
  <sheetViews>
    <sheetView showGridLines="0" workbookViewId="0">
      <selection activeCell="H3" sqref="H3"/>
    </sheetView>
  </sheetViews>
  <sheetFormatPr baseColWidth="10" defaultRowHeight="13.8"/>
  <cols>
    <col min="1" max="1" width="21.8984375" bestFit="1" customWidth="1"/>
    <col min="2" max="3" width="11.19921875" style="20"/>
    <col min="4" max="4" width="20.8984375" style="20" bestFit="1" customWidth="1"/>
    <col min="5" max="5" width="23" style="20" customWidth="1"/>
    <col min="6" max="6" width="15.5" style="20" bestFit="1" customWidth="1"/>
    <col min="7" max="7" width="24.3984375" style="20" bestFit="1" customWidth="1"/>
    <col min="8" max="8" width="24.19921875" style="20" bestFit="1" customWidth="1"/>
    <col min="9" max="9" width="16.09765625" style="20" bestFit="1" customWidth="1"/>
    <col min="10" max="10" width="14.296875" style="20" bestFit="1" customWidth="1"/>
    <col min="11" max="19" width="11.19921875" hidden="1" customWidth="1"/>
    <col min="20" max="22" width="0" style="9" hidden="1" customWidth="1"/>
  </cols>
  <sheetData>
    <row r="1" spans="1:22" ht="14.4" thickBot="1"/>
    <row r="2" spans="1:22" ht="14.4" thickBot="1">
      <c r="B2" s="98"/>
      <c r="F2" s="94" t="s">
        <v>51</v>
      </c>
      <c r="G2" s="95"/>
    </row>
    <row r="3" spans="1:22" ht="14.4" thickBot="1">
      <c r="A3" s="1" t="s">
        <v>19</v>
      </c>
      <c r="B3" s="54" t="s">
        <v>44</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9" t="s">
        <v>33</v>
      </c>
      <c r="U7" s="9" t="s">
        <v>34</v>
      </c>
      <c r="V7" s="9" t="s">
        <v>10</v>
      </c>
    </row>
    <row r="8" spans="1:22" s="8" customFormat="1" ht="15.6">
      <c r="A8"/>
      <c r="B8" s="104"/>
      <c r="C8" s="105"/>
      <c r="D8" s="106"/>
      <c r="E8" s="107"/>
      <c r="F8" s="107"/>
      <c r="G8" s="106"/>
      <c r="H8" s="107">
        <f>Tabelle212[[#This Row],[Entfernung (km) einfach]]*2</f>
        <v>0</v>
      </c>
      <c r="I8" s="107"/>
      <c r="J8" s="158"/>
      <c r="K8" s="7">
        <f>IF(Tabelle212[[#This Row],[Verkehrsmittel]]="Bus",Tabelle212[[#This Row],[Entfernung (km) gesamt]],0)*Tabelle212[[#This Row],[Anzahl Studierende ]]</f>
        <v>0</v>
      </c>
      <c r="L8" s="7">
        <f>IF(Tabelle212[[#This Row],[Verkehrsmittel]]="Bahn",Tabelle212[[#This Row],[Anzahl Studierende ]]*Tabelle212[[#This Row],[Entfernung (km) gesamt]],0)</f>
        <v>0</v>
      </c>
      <c r="M8" s="7">
        <f>IF(Tabelle212[[#This Row],[Verkehrsmittel]]="PKW",Tabelle212[[#This Row],[Anzahl Studierende ]]*Tabelle212[[#This Row],[Entfernung (km) gesamt]],0)</f>
        <v>0</v>
      </c>
      <c r="N8" s="7">
        <f>IF(Tabelle212[[#This Row],[Verkehrsmittel]]="Flug", IF(AND(Tabelle212[[#This Row],[Entfernung (km) einfach]]&lt;500),Tabelle212[[#This Row],[Entfernung (km) gesamt]]), 0)*Tabelle212[[#This Row],[Anzahl Studierende ]]</f>
        <v>0</v>
      </c>
      <c r="O8" s="7">
        <f>IF(Tabelle212[[#This Row],[Verkehrsmittel]]="Flug", IF(AND(Tabelle212[[#This Row],[Entfernung (km) einfach]]&gt;500,Tabelle212[[#This Row],[Entfernung (km) einfach]]&lt;1000),Tabelle212[[#This Row],[Entfernung (km) gesamt]], 0), 0)*Tabelle212[[#This Row],[Anzahl Studierende ]]</f>
        <v>0</v>
      </c>
      <c r="P8" s="7">
        <f>IF(Tabelle212[[#This Row],[Verkehrsmittel]]="Flug", IF(AND(Tabelle212[[#This Row],[Entfernung (km) einfach]]&gt;1000,Tabelle212[[#This Row],[Entfernung (km) einfach]]&lt;2000),Tabelle212[[#This Row],[Entfernung (km) gesamt]], 0), 0)*Tabelle212[[#This Row],[Anzahl Studierende ]]</f>
        <v>0</v>
      </c>
      <c r="Q8" s="7">
        <f>IF(Tabelle212[[#This Row],[Verkehrsmittel]]="Flug", IF(AND(Tabelle212[[#This Row],[Entfernung (km) einfach]]&gt;2000,Tabelle212[[#This Row],[Entfernung (km) einfach]]&lt;5000),Tabelle212[[#This Row],[Entfernung (km) gesamt]], 0), 0)*Tabelle212[[#This Row],[Anzahl Studierende ]]</f>
        <v>0</v>
      </c>
      <c r="R8" s="7">
        <f>IF(Tabelle212[[#This Row],[Verkehrsmittel]]="Flug", IF(AND(Tabelle212[[#This Row],[Entfernung (km) einfach]]&gt;5000,Tabelle212[[#This Row],[Entfernung (km) einfach]]&lt;10000),Tabelle212[[#This Row],[Entfernung (km) gesamt]], 0), 0)*Tabelle212[[#This Row],[Anzahl Studierende ]]</f>
        <v>0</v>
      </c>
      <c r="S8" s="7">
        <f>IF(Tabelle212[[#This Row],[Verkehrsmittel]]="Flug", IF(AND(Tabelle212[[#This Row],[Entfernung (km) einfach]]&gt;10000),Tabelle212[[#This Row],[Entfernung (km) gesamt]]), 0)*Tabelle212[[#This Row],[Anzahl Studierende ]]</f>
        <v>0</v>
      </c>
      <c r="T8" s="9">
        <f>IF(Tabelle212[[#This Row],[Verkehrsmittel]]="Motorrad",Tabelle212[[#This Row],[Entfernung (km) gesamt]],0)*Tabelle212[[#This Row],[Anzahl Studierende ]]</f>
        <v>0</v>
      </c>
      <c r="U8" s="9">
        <f>IF(Tabelle212[[#This Row],[Verkehrsmittel]]="Straßen-, S-, U-Bahn",Tabelle212[[#This Row],[Entfernung (km) gesamt]],0)*Tabelle212[[#This Row],[Anzahl Studierende ]]</f>
        <v>0</v>
      </c>
      <c r="V8" s="9">
        <f>IF(Tabelle212[[#This Row],[Verkehrsmittel]]="Fahrrad",Tabelle212[[#This Row],[Entfernung (km) gesamt]],0)*Tabelle212[[#This Row],[Anzahl Studierende ]]</f>
        <v>0</v>
      </c>
    </row>
    <row r="9" spans="1:22" s="8" customFormat="1">
      <c r="A9"/>
      <c r="B9" s="159"/>
      <c r="C9" s="111"/>
      <c r="D9" s="160"/>
      <c r="E9" s="111"/>
      <c r="F9" s="111"/>
      <c r="G9" s="111"/>
      <c r="H9" s="111">
        <f>Tabelle212[[#This Row],[Entfernung (km) einfach]]*2</f>
        <v>0</v>
      </c>
      <c r="I9" s="111"/>
      <c r="J9" s="140"/>
      <c r="K9" s="9">
        <f>IF(Tabelle212[[#This Row],[Verkehrsmittel]]="Bus",Tabelle212[[#This Row],[Entfernung (km) gesamt]],0)*Tabelle212[[#This Row],[Anzahl Studierende ]]</f>
        <v>0</v>
      </c>
      <c r="L9" s="9">
        <f>IF(Tabelle212[[#This Row],[Verkehrsmittel]]="Bahn",Tabelle212[[#This Row],[Anzahl Studierende ]]*Tabelle212[[#This Row],[Entfernung (km) gesamt]],0)</f>
        <v>0</v>
      </c>
      <c r="M9" s="9">
        <f>IF(Tabelle212[[#This Row],[Verkehrsmittel]]="PKW",Tabelle212[[#This Row],[Anzahl Studierende ]]*Tabelle212[[#This Row],[Entfernung (km) gesamt]],0)</f>
        <v>0</v>
      </c>
      <c r="N9" s="9">
        <f>IF(Tabelle212[[#This Row],[Verkehrsmittel]]="Flug", IF(AND(Tabelle212[[#This Row],[Entfernung (km) einfach]]&lt;500),Tabelle212[[#This Row],[Entfernung (km) gesamt]]), 0)*Tabelle212[[#This Row],[Anzahl Studierende ]]</f>
        <v>0</v>
      </c>
      <c r="O9" s="9">
        <f>IF(Tabelle212[[#This Row],[Verkehrsmittel]]="Flug", IF(AND(Tabelle212[[#This Row],[Entfernung (km) einfach]]&gt;500,Tabelle212[[#This Row],[Entfernung (km) einfach]]&lt;1000),Tabelle212[[#This Row],[Entfernung (km) gesamt]], 0), 0)*Tabelle212[[#This Row],[Anzahl Studierende ]]</f>
        <v>0</v>
      </c>
      <c r="P9" s="9">
        <f>IF(Tabelle212[[#This Row],[Verkehrsmittel]]="Flug", IF(AND(Tabelle212[[#This Row],[Entfernung (km) einfach]]&gt;1000,Tabelle212[[#This Row],[Entfernung (km) einfach]]&lt;2000),Tabelle212[[#This Row],[Entfernung (km) gesamt]], 0), 0)*Tabelle212[[#This Row],[Anzahl Studierende ]]</f>
        <v>0</v>
      </c>
      <c r="Q9" s="9">
        <f>IF(Tabelle212[[#This Row],[Verkehrsmittel]]="Flug", IF(AND(Tabelle212[[#This Row],[Entfernung (km) einfach]]&gt;2000,Tabelle212[[#This Row],[Entfernung (km) einfach]]&lt;5000),Tabelle212[[#This Row],[Entfernung (km) gesamt]], 0), 0)*Tabelle212[[#This Row],[Anzahl Studierende ]]</f>
        <v>0</v>
      </c>
      <c r="R9" s="9">
        <f>IF(Tabelle212[[#This Row],[Verkehrsmittel]]="Flug", IF(AND(Tabelle212[[#This Row],[Entfernung (km) einfach]]&gt;5000,Tabelle212[[#This Row],[Entfernung (km) einfach]]&lt;10000),Tabelle212[[#This Row],[Entfernung (km) gesamt]], 0), 0)*Tabelle212[[#This Row],[Anzahl Studierende ]]</f>
        <v>0</v>
      </c>
      <c r="S9" s="9">
        <f>IF(Tabelle212[[#This Row],[Verkehrsmittel]]="Flug", IF(AND(Tabelle212[[#This Row],[Entfernung (km) einfach]]&gt;10000),Tabelle212[[#This Row],[Entfernung (km) gesamt]]), 0)*Tabelle212[[#This Row],[Anzahl Studierende ]]</f>
        <v>0</v>
      </c>
      <c r="T9" s="9">
        <f>IF(Tabelle212[[#This Row],[Verkehrsmittel]]="Motorrad",Tabelle212[[#This Row],[Entfernung (km) gesamt]],0)*Tabelle212[[#This Row],[Anzahl Studierende ]]</f>
        <v>0</v>
      </c>
      <c r="U9" s="9">
        <f>IF(Tabelle212[[#This Row],[Verkehrsmittel]]="Straßen-, S-, U-Bahn",Tabelle212[[#This Row],[Entfernung (km) gesamt]],0)*Tabelle212[[#This Row],[Anzahl Studierende ]]</f>
        <v>0</v>
      </c>
      <c r="V9" s="9">
        <f>IF(Tabelle212[[#This Row],[Verkehrsmittel]]="Fahrrad",Tabelle212[[#This Row],[Entfernung (km) gesamt]],0)*Tabelle212[[#This Row],[Anzahl Studierende ]]</f>
        <v>0</v>
      </c>
    </row>
    <row r="10" spans="1:22" s="8" customFormat="1">
      <c r="A10"/>
      <c r="B10" s="159"/>
      <c r="C10" s="111"/>
      <c r="D10" s="160"/>
      <c r="E10" s="111"/>
      <c r="F10" s="111"/>
      <c r="G10" s="111"/>
      <c r="H10" s="111">
        <f>Tabelle212[[#This Row],[Entfernung (km) einfach]]*2</f>
        <v>0</v>
      </c>
      <c r="I10" s="111"/>
      <c r="J10" s="140"/>
      <c r="K10" s="9">
        <f>IF(Tabelle212[[#This Row],[Verkehrsmittel]]="Bus",Tabelle212[[#This Row],[Entfernung (km) gesamt]],0)*Tabelle212[[#This Row],[Anzahl Studierende ]]</f>
        <v>0</v>
      </c>
      <c r="L10" s="9">
        <f>IF(Tabelle212[[#This Row],[Verkehrsmittel]]="Bahn",Tabelle212[[#This Row],[Anzahl Studierende ]]*Tabelle212[[#This Row],[Entfernung (km) gesamt]],0)</f>
        <v>0</v>
      </c>
      <c r="M10" s="9">
        <f>IF(Tabelle212[[#This Row],[Verkehrsmittel]]="PKW",Tabelle212[[#This Row],[Anzahl Studierende ]]*Tabelle212[[#This Row],[Entfernung (km) gesamt]],0)</f>
        <v>0</v>
      </c>
      <c r="N10" s="9">
        <f>IF(Tabelle212[[#This Row],[Verkehrsmittel]]="Flug", IF(AND(Tabelle212[[#This Row],[Entfernung (km) einfach]]&lt;500),Tabelle212[[#This Row],[Entfernung (km) gesamt]]), 0)*Tabelle212[[#This Row],[Anzahl Studierende ]]</f>
        <v>0</v>
      </c>
      <c r="O10" s="9">
        <f>IF(Tabelle212[[#This Row],[Verkehrsmittel]]="Flug", IF(AND(Tabelle212[[#This Row],[Entfernung (km) einfach]]&gt;500,Tabelle212[[#This Row],[Entfernung (km) einfach]]&lt;1000),Tabelle212[[#This Row],[Entfernung (km) gesamt]], 0), 0)*Tabelle212[[#This Row],[Anzahl Studierende ]]</f>
        <v>0</v>
      </c>
      <c r="P10" s="9">
        <f>IF(Tabelle212[[#This Row],[Verkehrsmittel]]="Flug", IF(AND(Tabelle212[[#This Row],[Entfernung (km) einfach]]&gt;1000,Tabelle212[[#This Row],[Entfernung (km) einfach]]&lt;2000),Tabelle212[[#This Row],[Entfernung (km) gesamt]], 0), 0)*Tabelle212[[#This Row],[Anzahl Studierende ]]</f>
        <v>0</v>
      </c>
      <c r="Q10" s="9">
        <f>IF(Tabelle212[[#This Row],[Verkehrsmittel]]="Flug", IF(AND(Tabelle212[[#This Row],[Entfernung (km) einfach]]&gt;2000,Tabelle212[[#This Row],[Entfernung (km) einfach]]&lt;5000),Tabelle212[[#This Row],[Entfernung (km) gesamt]], 0), 0)*Tabelle212[[#This Row],[Anzahl Studierende ]]</f>
        <v>0</v>
      </c>
      <c r="R10" s="9">
        <f>IF(Tabelle212[[#This Row],[Verkehrsmittel]]="Flug", IF(AND(Tabelle212[[#This Row],[Entfernung (km) einfach]]&gt;5000,Tabelle212[[#This Row],[Entfernung (km) einfach]]&lt;10000),Tabelle212[[#This Row],[Entfernung (km) gesamt]], 0), 0)*Tabelle212[[#This Row],[Anzahl Studierende ]]</f>
        <v>0</v>
      </c>
      <c r="S10" s="9">
        <f>IF(Tabelle212[[#This Row],[Verkehrsmittel]]="Flug", IF(AND(Tabelle212[[#This Row],[Entfernung (km) einfach]]&gt;10000),Tabelle212[[#This Row],[Entfernung (km) gesamt]]), 0)*Tabelle212[[#This Row],[Anzahl Studierende ]]</f>
        <v>0</v>
      </c>
      <c r="T10" s="9">
        <f>IF(Tabelle212[[#This Row],[Verkehrsmittel]]="Motorrad",Tabelle212[[#This Row],[Entfernung (km) gesamt]],0)*Tabelle212[[#This Row],[Anzahl Studierende ]]</f>
        <v>0</v>
      </c>
      <c r="U10" s="9">
        <f>IF(Tabelle212[[#This Row],[Verkehrsmittel]]="Straßen-, S-, U-Bahn",Tabelle212[[#This Row],[Entfernung (km) gesamt]],0)*Tabelle212[[#This Row],[Anzahl Studierende ]]</f>
        <v>0</v>
      </c>
      <c r="V10" s="9">
        <f>IF(Tabelle212[[#This Row],[Verkehrsmittel]]="Fahrrad",Tabelle212[[#This Row],[Entfernung (km) gesamt]],0)*Tabelle212[[#This Row],[Anzahl Studierende ]]</f>
        <v>0</v>
      </c>
    </row>
    <row r="11" spans="1:22" s="8" customFormat="1">
      <c r="A11"/>
      <c r="B11" s="159"/>
      <c r="C11" s="111"/>
      <c r="D11" s="160"/>
      <c r="E11" s="111"/>
      <c r="F11" s="111"/>
      <c r="G11" s="111"/>
      <c r="H11" s="111">
        <f>Tabelle212[[#This Row],[Entfernung (km) einfach]]*2</f>
        <v>0</v>
      </c>
      <c r="I11" s="111"/>
      <c r="J11" s="140"/>
      <c r="K11" s="9">
        <f>IF(Tabelle212[[#This Row],[Verkehrsmittel]]="Bus",Tabelle212[[#This Row],[Entfernung (km) gesamt]],0)*Tabelle212[[#This Row],[Anzahl Studierende ]]</f>
        <v>0</v>
      </c>
      <c r="L11" s="9">
        <f>IF(Tabelle212[[#This Row],[Verkehrsmittel]]="Bahn",Tabelle212[[#This Row],[Anzahl Studierende ]]*Tabelle212[[#This Row],[Entfernung (km) gesamt]],0)</f>
        <v>0</v>
      </c>
      <c r="M11" s="9">
        <f>IF(Tabelle212[[#This Row],[Verkehrsmittel]]="PKW",Tabelle212[[#This Row],[Anzahl Studierende ]]*Tabelle212[[#This Row],[Entfernung (km) gesamt]],0)</f>
        <v>0</v>
      </c>
      <c r="N11" s="9">
        <f>IF(Tabelle212[[#This Row],[Verkehrsmittel]]="Flug", IF(AND(Tabelle212[[#This Row],[Entfernung (km) einfach]]&lt;500),Tabelle212[[#This Row],[Entfernung (km) gesamt]]), 0)*Tabelle212[[#This Row],[Anzahl Studierende ]]</f>
        <v>0</v>
      </c>
      <c r="O11" s="9">
        <f>IF(Tabelle212[[#This Row],[Verkehrsmittel]]="Flug", IF(AND(Tabelle212[[#This Row],[Entfernung (km) einfach]]&gt;500,Tabelle212[[#This Row],[Entfernung (km) einfach]]&lt;1000),Tabelle212[[#This Row],[Entfernung (km) gesamt]], 0), 0)*Tabelle212[[#This Row],[Anzahl Studierende ]]</f>
        <v>0</v>
      </c>
      <c r="P11" s="9">
        <f>IF(Tabelle212[[#This Row],[Verkehrsmittel]]="Flug", IF(AND(Tabelle212[[#This Row],[Entfernung (km) einfach]]&gt;1000,Tabelle212[[#This Row],[Entfernung (km) einfach]]&lt;2000),Tabelle212[[#This Row],[Entfernung (km) gesamt]], 0), 0)*Tabelle212[[#This Row],[Anzahl Studierende ]]</f>
        <v>0</v>
      </c>
      <c r="Q11" s="9">
        <f>IF(Tabelle212[[#This Row],[Verkehrsmittel]]="Flug", IF(AND(Tabelle212[[#This Row],[Entfernung (km) einfach]]&gt;2000,Tabelle212[[#This Row],[Entfernung (km) einfach]]&lt;5000),Tabelle212[[#This Row],[Entfernung (km) gesamt]], 0), 0)*Tabelle212[[#This Row],[Anzahl Studierende ]]</f>
        <v>0</v>
      </c>
      <c r="R11" s="9">
        <f>IF(Tabelle212[[#This Row],[Verkehrsmittel]]="Flug", IF(AND(Tabelle212[[#This Row],[Entfernung (km) einfach]]&gt;5000,Tabelle212[[#This Row],[Entfernung (km) einfach]]&lt;10000),Tabelle212[[#This Row],[Entfernung (km) gesamt]], 0), 0)*Tabelle212[[#This Row],[Anzahl Studierende ]]</f>
        <v>0</v>
      </c>
      <c r="S11" s="9">
        <f>IF(Tabelle212[[#This Row],[Verkehrsmittel]]="Flug", IF(AND(Tabelle212[[#This Row],[Entfernung (km) einfach]]&gt;10000),Tabelle212[[#This Row],[Entfernung (km) gesamt]]), 0)*Tabelle212[[#This Row],[Anzahl Studierende ]]</f>
        <v>0</v>
      </c>
      <c r="T11" s="9">
        <f>IF(Tabelle212[[#This Row],[Verkehrsmittel]]="Motorrad",Tabelle212[[#This Row],[Entfernung (km) gesamt]],0)*Tabelle212[[#This Row],[Anzahl Studierende ]]</f>
        <v>0</v>
      </c>
      <c r="U11" s="9">
        <f>IF(Tabelle212[[#This Row],[Verkehrsmittel]]="Straßen-, S-, U-Bahn",Tabelle212[[#This Row],[Entfernung (km) gesamt]],0)*Tabelle212[[#This Row],[Anzahl Studierende ]]</f>
        <v>0</v>
      </c>
      <c r="V11" s="9">
        <f>IF(Tabelle212[[#This Row],[Verkehrsmittel]]="Fahrrad",Tabelle212[[#This Row],[Entfernung (km) gesamt]],0)*Tabelle212[[#This Row],[Anzahl Studierende ]]</f>
        <v>0</v>
      </c>
    </row>
    <row r="12" spans="1:22" s="8" customFormat="1">
      <c r="A12"/>
      <c r="B12" s="159"/>
      <c r="C12" s="111"/>
      <c r="D12" s="160"/>
      <c r="E12" s="111"/>
      <c r="F12" s="111"/>
      <c r="G12" s="111"/>
      <c r="H12" s="111">
        <f>Tabelle212[[#This Row],[Entfernung (km) einfach]]*2</f>
        <v>0</v>
      </c>
      <c r="I12" s="111"/>
      <c r="J12" s="140"/>
      <c r="K12" s="9">
        <f>IF(Tabelle212[[#This Row],[Verkehrsmittel]]="Bus",Tabelle212[[#This Row],[Entfernung (km) gesamt]],0)*Tabelle212[[#This Row],[Anzahl Studierende ]]</f>
        <v>0</v>
      </c>
      <c r="L12" s="9">
        <f>IF(Tabelle212[[#This Row],[Verkehrsmittel]]="Bahn",Tabelle212[[#This Row],[Anzahl Studierende ]]*Tabelle212[[#This Row],[Entfernung (km) gesamt]],0)</f>
        <v>0</v>
      </c>
      <c r="M12" s="9">
        <f>IF(Tabelle212[[#This Row],[Verkehrsmittel]]="PKW",Tabelle212[[#This Row],[Anzahl Studierende ]]*Tabelle212[[#This Row],[Entfernung (km) gesamt]],0)</f>
        <v>0</v>
      </c>
      <c r="N12" s="9">
        <f>IF(Tabelle212[[#This Row],[Verkehrsmittel]]="Flug", IF(AND(Tabelle212[[#This Row],[Entfernung (km) einfach]]&lt;500),Tabelle212[[#This Row],[Entfernung (km) gesamt]]), 0)*Tabelle212[[#This Row],[Anzahl Studierende ]]</f>
        <v>0</v>
      </c>
      <c r="O12" s="9">
        <f>IF(Tabelle212[[#This Row],[Verkehrsmittel]]="Flug", IF(AND(Tabelle212[[#This Row],[Entfernung (km) einfach]]&gt;500,Tabelle212[[#This Row],[Entfernung (km) einfach]]&lt;1000),Tabelle212[[#This Row],[Entfernung (km) gesamt]], 0), 0)*Tabelle212[[#This Row],[Anzahl Studierende ]]</f>
        <v>0</v>
      </c>
      <c r="P12" s="9">
        <f>IF(Tabelle212[[#This Row],[Verkehrsmittel]]="Flug", IF(AND(Tabelle212[[#This Row],[Entfernung (km) einfach]]&gt;1000,Tabelle212[[#This Row],[Entfernung (km) einfach]]&lt;2000),Tabelle212[[#This Row],[Entfernung (km) gesamt]], 0), 0)*Tabelle212[[#This Row],[Anzahl Studierende ]]</f>
        <v>0</v>
      </c>
      <c r="Q12" s="9">
        <f>IF(Tabelle212[[#This Row],[Verkehrsmittel]]="Flug", IF(AND(Tabelle212[[#This Row],[Entfernung (km) einfach]]&gt;2000,Tabelle212[[#This Row],[Entfernung (km) einfach]]&lt;5000),Tabelle212[[#This Row],[Entfernung (km) gesamt]], 0), 0)*Tabelle212[[#This Row],[Anzahl Studierende ]]</f>
        <v>0</v>
      </c>
      <c r="R12" s="9">
        <f>IF(Tabelle212[[#This Row],[Verkehrsmittel]]="Flug", IF(AND(Tabelle212[[#This Row],[Entfernung (km) einfach]]&gt;5000,Tabelle212[[#This Row],[Entfernung (km) einfach]]&lt;10000),Tabelle212[[#This Row],[Entfernung (km) gesamt]], 0), 0)*Tabelle212[[#This Row],[Anzahl Studierende ]]</f>
        <v>0</v>
      </c>
      <c r="S12" s="9">
        <f>IF(Tabelle212[[#This Row],[Verkehrsmittel]]="Flug", IF(AND(Tabelle212[[#This Row],[Entfernung (km) einfach]]&gt;10000),Tabelle212[[#This Row],[Entfernung (km) gesamt]]), 0)*Tabelle212[[#This Row],[Anzahl Studierende ]]</f>
        <v>0</v>
      </c>
      <c r="T12" s="9">
        <f>IF(Tabelle212[[#This Row],[Verkehrsmittel]]="Motorrad",Tabelle212[[#This Row],[Entfernung (km) gesamt]],0)*Tabelle212[[#This Row],[Anzahl Studierende ]]</f>
        <v>0</v>
      </c>
      <c r="U12" s="9">
        <f>IF(Tabelle212[[#This Row],[Verkehrsmittel]]="Straßen-, S-, U-Bahn",Tabelle212[[#This Row],[Entfernung (km) gesamt]],0)*Tabelle212[[#This Row],[Anzahl Studierende ]]</f>
        <v>0</v>
      </c>
      <c r="V12" s="9">
        <f>IF(Tabelle212[[#This Row],[Verkehrsmittel]]="Fahrrad",Tabelle212[[#This Row],[Entfernung (km) gesamt]],0)*Tabelle212[[#This Row],[Anzahl Studierende ]]</f>
        <v>0</v>
      </c>
    </row>
    <row r="13" spans="1:22" s="8" customFormat="1">
      <c r="A13"/>
      <c r="B13" s="159"/>
      <c r="C13" s="111"/>
      <c r="D13" s="160"/>
      <c r="E13" s="111"/>
      <c r="F13" s="111"/>
      <c r="G13" s="111"/>
      <c r="H13" s="111">
        <f>Tabelle212[[#This Row],[Entfernung (km) einfach]]*2</f>
        <v>0</v>
      </c>
      <c r="I13" s="111"/>
      <c r="J13" s="140"/>
      <c r="K13" s="9">
        <f>IF(Tabelle212[[#This Row],[Verkehrsmittel]]="Bus",Tabelle212[[#This Row],[Entfernung (km) gesamt]],0)*Tabelle212[[#This Row],[Anzahl Studierende ]]</f>
        <v>0</v>
      </c>
      <c r="L13" s="9">
        <f>IF(Tabelle212[[#This Row],[Verkehrsmittel]]="Bahn",Tabelle212[[#This Row],[Anzahl Studierende ]]*Tabelle212[[#This Row],[Entfernung (km) gesamt]],0)</f>
        <v>0</v>
      </c>
      <c r="M13" s="9">
        <f>IF(Tabelle212[[#This Row],[Verkehrsmittel]]="PKW",Tabelle212[[#This Row],[Anzahl Studierende ]]*Tabelle212[[#This Row],[Entfernung (km) gesamt]],0)</f>
        <v>0</v>
      </c>
      <c r="N13" s="9">
        <f>IF(Tabelle212[[#This Row],[Verkehrsmittel]]="Flug", IF(AND(Tabelle212[[#This Row],[Entfernung (km) einfach]]&lt;500),Tabelle212[[#This Row],[Entfernung (km) gesamt]]), 0)*Tabelle212[[#This Row],[Anzahl Studierende ]]</f>
        <v>0</v>
      </c>
      <c r="O13" s="9">
        <f>IF(Tabelle212[[#This Row],[Verkehrsmittel]]="Flug", IF(AND(Tabelle212[[#This Row],[Entfernung (km) einfach]]&gt;500,Tabelle212[[#This Row],[Entfernung (km) einfach]]&lt;1000),Tabelle212[[#This Row],[Entfernung (km) gesamt]], 0), 0)*Tabelle212[[#This Row],[Anzahl Studierende ]]</f>
        <v>0</v>
      </c>
      <c r="P13" s="9">
        <f>IF(Tabelle212[[#This Row],[Verkehrsmittel]]="Flug", IF(AND(Tabelle212[[#This Row],[Entfernung (km) einfach]]&gt;1000,Tabelle212[[#This Row],[Entfernung (km) einfach]]&lt;2000),Tabelle212[[#This Row],[Entfernung (km) gesamt]], 0), 0)*Tabelle212[[#This Row],[Anzahl Studierende ]]</f>
        <v>0</v>
      </c>
      <c r="Q13" s="9">
        <f>IF(Tabelle212[[#This Row],[Verkehrsmittel]]="Flug", IF(AND(Tabelle212[[#This Row],[Entfernung (km) einfach]]&gt;2000,Tabelle212[[#This Row],[Entfernung (km) einfach]]&lt;5000),Tabelle212[[#This Row],[Entfernung (km) gesamt]], 0), 0)*Tabelle212[[#This Row],[Anzahl Studierende ]]</f>
        <v>0</v>
      </c>
      <c r="R13" s="9">
        <f>IF(Tabelle212[[#This Row],[Verkehrsmittel]]="Flug", IF(AND(Tabelle212[[#This Row],[Entfernung (km) einfach]]&gt;5000,Tabelle212[[#This Row],[Entfernung (km) einfach]]&lt;10000),Tabelle212[[#This Row],[Entfernung (km) gesamt]], 0), 0)*Tabelle212[[#This Row],[Anzahl Studierende ]]</f>
        <v>0</v>
      </c>
      <c r="S13" s="9">
        <f>IF(Tabelle212[[#This Row],[Verkehrsmittel]]="Flug", IF(AND(Tabelle212[[#This Row],[Entfernung (km) einfach]]&gt;10000),Tabelle212[[#This Row],[Entfernung (km) gesamt]]), 0)*Tabelle212[[#This Row],[Anzahl Studierende ]]</f>
        <v>0</v>
      </c>
      <c r="T13" s="9">
        <f>IF(Tabelle212[[#This Row],[Verkehrsmittel]]="Motorrad",Tabelle212[[#This Row],[Entfernung (km) gesamt]],0)*Tabelle212[[#This Row],[Anzahl Studierende ]]</f>
        <v>0</v>
      </c>
      <c r="U13" s="9">
        <f>IF(Tabelle212[[#This Row],[Verkehrsmittel]]="Straßen-, S-, U-Bahn",Tabelle212[[#This Row],[Entfernung (km) gesamt]],0)*Tabelle212[[#This Row],[Anzahl Studierende ]]</f>
        <v>0</v>
      </c>
      <c r="V13" s="9">
        <f>IF(Tabelle212[[#This Row],[Verkehrsmittel]]="Fahrrad",Tabelle212[[#This Row],[Entfernung (km) gesamt]],0)*Tabelle212[[#This Row],[Anzahl Studierende ]]</f>
        <v>0</v>
      </c>
    </row>
    <row r="14" spans="1:22" s="8" customFormat="1">
      <c r="A14"/>
      <c r="B14" s="159"/>
      <c r="C14" s="111"/>
      <c r="D14" s="160"/>
      <c r="E14" s="111"/>
      <c r="F14" s="111"/>
      <c r="G14" s="111"/>
      <c r="H14" s="111">
        <f>Tabelle212[[#This Row],[Entfernung (km) einfach]]*2</f>
        <v>0</v>
      </c>
      <c r="I14" s="111"/>
      <c r="J14" s="140"/>
      <c r="K14" s="9">
        <f>IF(Tabelle212[[#This Row],[Verkehrsmittel]]="Bus",Tabelle212[[#This Row],[Entfernung (km) gesamt]],0)*Tabelle212[[#This Row],[Anzahl Studierende ]]</f>
        <v>0</v>
      </c>
      <c r="L14" s="9">
        <f>IF(Tabelle212[[#This Row],[Verkehrsmittel]]="Bahn",Tabelle212[[#This Row],[Anzahl Studierende ]]*Tabelle212[[#This Row],[Entfernung (km) gesamt]],0)</f>
        <v>0</v>
      </c>
      <c r="M14" s="9">
        <f>IF(Tabelle212[[#This Row],[Verkehrsmittel]]="PKW",Tabelle212[[#This Row],[Anzahl Studierende ]]*Tabelle212[[#This Row],[Entfernung (km) gesamt]],0)</f>
        <v>0</v>
      </c>
      <c r="N14" s="9">
        <f>IF(Tabelle212[[#This Row],[Verkehrsmittel]]="Flug", IF(AND(Tabelle212[[#This Row],[Entfernung (km) einfach]]&lt;500),Tabelle212[[#This Row],[Entfernung (km) gesamt]]), 0)*Tabelle212[[#This Row],[Anzahl Studierende ]]</f>
        <v>0</v>
      </c>
      <c r="O14" s="9">
        <f>IF(Tabelle212[[#This Row],[Verkehrsmittel]]="Flug", IF(AND(Tabelle212[[#This Row],[Entfernung (km) einfach]]&gt;500,Tabelle212[[#This Row],[Entfernung (km) einfach]]&lt;1000),Tabelle212[[#This Row],[Entfernung (km) gesamt]], 0), 0)*Tabelle212[[#This Row],[Anzahl Studierende ]]</f>
        <v>0</v>
      </c>
      <c r="P14" s="9">
        <f>IF(Tabelle212[[#This Row],[Verkehrsmittel]]="Flug", IF(AND(Tabelle212[[#This Row],[Entfernung (km) einfach]]&gt;1000,Tabelle212[[#This Row],[Entfernung (km) einfach]]&lt;2000),Tabelle212[[#This Row],[Entfernung (km) gesamt]], 0), 0)*Tabelle212[[#This Row],[Anzahl Studierende ]]</f>
        <v>0</v>
      </c>
      <c r="Q14" s="9">
        <f>IF(Tabelle212[[#This Row],[Verkehrsmittel]]="Flug", IF(AND(Tabelle212[[#This Row],[Entfernung (km) einfach]]&gt;2000,Tabelle212[[#This Row],[Entfernung (km) einfach]]&lt;5000),Tabelle212[[#This Row],[Entfernung (km) gesamt]], 0), 0)*Tabelle212[[#This Row],[Anzahl Studierende ]]</f>
        <v>0</v>
      </c>
      <c r="R14" s="9">
        <f>IF(Tabelle212[[#This Row],[Verkehrsmittel]]="Flug", IF(AND(Tabelle212[[#This Row],[Entfernung (km) einfach]]&gt;5000,Tabelle212[[#This Row],[Entfernung (km) einfach]]&lt;10000),Tabelle212[[#This Row],[Entfernung (km) gesamt]], 0), 0)*Tabelle212[[#This Row],[Anzahl Studierende ]]</f>
        <v>0</v>
      </c>
      <c r="S14" s="9">
        <f>IF(Tabelle212[[#This Row],[Verkehrsmittel]]="Flug", IF(AND(Tabelle212[[#This Row],[Entfernung (km) einfach]]&gt;10000),Tabelle212[[#This Row],[Entfernung (km) gesamt]]), 0)*Tabelle212[[#This Row],[Anzahl Studierende ]]</f>
        <v>0</v>
      </c>
      <c r="T14" s="9">
        <f>IF(Tabelle212[[#This Row],[Verkehrsmittel]]="Motorrad",Tabelle212[[#This Row],[Entfernung (km) gesamt]],0)*Tabelle212[[#This Row],[Anzahl Studierende ]]</f>
        <v>0</v>
      </c>
      <c r="U14" s="9">
        <f>IF(Tabelle212[[#This Row],[Verkehrsmittel]]="Straßen-, S-, U-Bahn",Tabelle212[[#This Row],[Entfernung (km) gesamt]],0)*Tabelle212[[#This Row],[Anzahl Studierende ]]</f>
        <v>0</v>
      </c>
      <c r="V14" s="9">
        <f>IF(Tabelle212[[#This Row],[Verkehrsmittel]]="Fahrrad",Tabelle212[[#This Row],[Entfernung (km) gesamt]],0)*Tabelle212[[#This Row],[Anzahl Studierende ]]</f>
        <v>0</v>
      </c>
    </row>
    <row r="15" spans="1:22" s="8" customFormat="1">
      <c r="A15"/>
      <c r="B15" s="159"/>
      <c r="C15" s="111"/>
      <c r="D15" s="160"/>
      <c r="E15" s="111"/>
      <c r="F15" s="111"/>
      <c r="G15" s="111"/>
      <c r="H15" s="111">
        <f>Tabelle212[[#This Row],[Entfernung (km) einfach]]*2</f>
        <v>0</v>
      </c>
      <c r="I15" s="111"/>
      <c r="J15" s="140"/>
      <c r="K15" s="9">
        <f>IF(Tabelle212[[#This Row],[Verkehrsmittel]]="Bus",Tabelle212[[#This Row],[Entfernung (km) gesamt]],0)*Tabelle212[[#This Row],[Anzahl Studierende ]]</f>
        <v>0</v>
      </c>
      <c r="L15" s="9">
        <f>IF(Tabelle212[[#This Row],[Verkehrsmittel]]="Bahn",Tabelle212[[#This Row],[Anzahl Studierende ]]*Tabelle212[[#This Row],[Entfernung (km) gesamt]],0)</f>
        <v>0</v>
      </c>
      <c r="M15" s="9">
        <f>IF(Tabelle212[[#This Row],[Verkehrsmittel]]="PKW",Tabelle212[[#This Row],[Anzahl Studierende ]]*Tabelle212[[#This Row],[Entfernung (km) gesamt]],0)</f>
        <v>0</v>
      </c>
      <c r="N15" s="9">
        <f>IF(Tabelle212[[#This Row],[Verkehrsmittel]]="Flug", IF(AND(Tabelle212[[#This Row],[Entfernung (km) einfach]]&lt;500),Tabelle212[[#This Row],[Entfernung (km) gesamt]]), 0)*Tabelle212[[#This Row],[Anzahl Studierende ]]</f>
        <v>0</v>
      </c>
      <c r="O15" s="9">
        <f>IF(Tabelle212[[#This Row],[Verkehrsmittel]]="Flug", IF(AND(Tabelle212[[#This Row],[Entfernung (km) einfach]]&gt;500,Tabelle212[[#This Row],[Entfernung (km) einfach]]&lt;1000),Tabelle212[[#This Row],[Entfernung (km) gesamt]], 0), 0)*Tabelle212[[#This Row],[Anzahl Studierende ]]</f>
        <v>0</v>
      </c>
      <c r="P15" s="9">
        <f>IF(Tabelle212[[#This Row],[Verkehrsmittel]]="Flug", IF(AND(Tabelle212[[#This Row],[Entfernung (km) einfach]]&gt;1000,Tabelle212[[#This Row],[Entfernung (km) einfach]]&lt;2000),Tabelle212[[#This Row],[Entfernung (km) gesamt]], 0), 0)*Tabelle212[[#This Row],[Anzahl Studierende ]]</f>
        <v>0</v>
      </c>
      <c r="Q15" s="9">
        <f>IF(Tabelle212[[#This Row],[Verkehrsmittel]]="Flug", IF(AND(Tabelle212[[#This Row],[Entfernung (km) einfach]]&gt;2000,Tabelle212[[#This Row],[Entfernung (km) einfach]]&lt;5000),Tabelle212[[#This Row],[Entfernung (km) gesamt]], 0), 0)*Tabelle212[[#This Row],[Anzahl Studierende ]]</f>
        <v>0</v>
      </c>
      <c r="R15" s="9">
        <f>IF(Tabelle212[[#This Row],[Verkehrsmittel]]="Flug", IF(AND(Tabelle212[[#This Row],[Entfernung (km) einfach]]&gt;5000,Tabelle212[[#This Row],[Entfernung (km) einfach]]&lt;10000),Tabelle212[[#This Row],[Entfernung (km) gesamt]], 0), 0)*Tabelle212[[#This Row],[Anzahl Studierende ]]</f>
        <v>0</v>
      </c>
      <c r="S15" s="9">
        <f>IF(Tabelle212[[#This Row],[Verkehrsmittel]]="Flug", IF(AND(Tabelle212[[#This Row],[Entfernung (km) einfach]]&gt;10000),Tabelle212[[#This Row],[Entfernung (km) gesamt]]), 0)*Tabelle212[[#This Row],[Anzahl Studierende ]]</f>
        <v>0</v>
      </c>
      <c r="T15" s="9">
        <f>IF(Tabelle212[[#This Row],[Verkehrsmittel]]="Motorrad",Tabelle212[[#This Row],[Entfernung (km) gesamt]],0)*Tabelle212[[#This Row],[Anzahl Studierende ]]</f>
        <v>0</v>
      </c>
      <c r="U15" s="9">
        <f>IF(Tabelle212[[#This Row],[Verkehrsmittel]]="Straßen-, S-, U-Bahn",Tabelle212[[#This Row],[Entfernung (km) gesamt]],0)*Tabelle212[[#This Row],[Anzahl Studierende ]]</f>
        <v>0</v>
      </c>
      <c r="V15" s="9">
        <f>IF(Tabelle212[[#This Row],[Verkehrsmittel]]="Fahrrad",Tabelle212[[#This Row],[Entfernung (km) gesamt]],0)*Tabelle212[[#This Row],[Anzahl Studierende ]]</f>
        <v>0</v>
      </c>
    </row>
    <row r="16" spans="1:22" s="8" customFormat="1" ht="15.6">
      <c r="A16"/>
      <c r="B16" s="159"/>
      <c r="C16" s="111"/>
      <c r="D16" s="160"/>
      <c r="E16" s="111"/>
      <c r="F16" s="111"/>
      <c r="G16" s="111"/>
      <c r="H16" s="111">
        <f>Tabelle212[[#This Row],[Entfernung (km) einfach]]*2</f>
        <v>0</v>
      </c>
      <c r="I16" s="111"/>
      <c r="J16" s="140"/>
      <c r="K16" s="12">
        <f>IF(Tabelle212[[#This Row],[Verkehrsmittel]]="Bus",Tabelle212[[#This Row],[Entfernung (km) gesamt]],0)*Tabelle212[[#This Row],[Anzahl Studierende ]]</f>
        <v>0</v>
      </c>
      <c r="L16" s="11">
        <f>IF(Tabelle212[[#This Row],[Verkehrsmittel]]="Bahn",Tabelle212[[#This Row],[Anzahl Studierende ]]*Tabelle212[[#This Row],[Entfernung (km) gesamt]],0)</f>
        <v>0</v>
      </c>
      <c r="M16" s="9">
        <f>IF(Tabelle212[[#This Row],[Verkehrsmittel]]="PKW",Tabelle212[[#This Row],[Anzahl Studierende ]]*Tabelle212[[#This Row],[Entfernung (km) gesamt]],0)</f>
        <v>0</v>
      </c>
      <c r="N16" s="9">
        <f>IF(Tabelle212[[#This Row],[Verkehrsmittel]]="Flug", IF(AND(Tabelle212[[#This Row],[Entfernung (km) einfach]]&lt;500),Tabelle212[[#This Row],[Entfernung (km) gesamt]]), 0)*Tabelle212[[#This Row],[Anzahl Studierende ]]</f>
        <v>0</v>
      </c>
      <c r="O16" s="9">
        <f>IF(Tabelle212[[#This Row],[Verkehrsmittel]]="Flug", IF(AND(Tabelle212[[#This Row],[Entfernung (km) einfach]]&gt;500,Tabelle212[[#This Row],[Entfernung (km) einfach]]&lt;1000),Tabelle212[[#This Row],[Entfernung (km) gesamt]], 0), 0)*Tabelle212[[#This Row],[Anzahl Studierende ]]</f>
        <v>0</v>
      </c>
      <c r="P16" s="9">
        <f>IF(Tabelle212[[#This Row],[Verkehrsmittel]]="Flug", IF(AND(Tabelle212[[#This Row],[Entfernung (km) einfach]]&gt;1000,Tabelle212[[#This Row],[Entfernung (km) einfach]]&lt;2000),Tabelle212[[#This Row],[Entfernung (km) gesamt]], 0), 0)*Tabelle212[[#This Row],[Anzahl Studierende ]]</f>
        <v>0</v>
      </c>
      <c r="Q16" s="9">
        <f>IF(Tabelle212[[#This Row],[Verkehrsmittel]]="Flug", IF(AND(Tabelle212[[#This Row],[Entfernung (km) einfach]]&gt;2000,Tabelle212[[#This Row],[Entfernung (km) einfach]]&lt;5000),Tabelle212[[#This Row],[Entfernung (km) gesamt]], 0), 0)*Tabelle212[[#This Row],[Anzahl Studierende ]]</f>
        <v>0</v>
      </c>
      <c r="R16" s="9">
        <f>IF(Tabelle212[[#This Row],[Verkehrsmittel]]="Flug", IF(AND(Tabelle212[[#This Row],[Entfernung (km) einfach]]&gt;5000,Tabelle212[[#This Row],[Entfernung (km) einfach]]&lt;10000),Tabelle212[[#This Row],[Entfernung (km) gesamt]], 0), 0)*Tabelle212[[#This Row],[Anzahl Studierende ]]</f>
        <v>0</v>
      </c>
      <c r="S16" s="9">
        <f>IF(Tabelle212[[#This Row],[Verkehrsmittel]]="Flug", IF(AND(Tabelle212[[#This Row],[Entfernung (km) einfach]]&gt;10000),Tabelle212[[#This Row],[Entfernung (km) gesamt]]), 0)*Tabelle212[[#This Row],[Anzahl Studierende ]]</f>
        <v>0</v>
      </c>
      <c r="T16" s="9">
        <f>IF(Tabelle212[[#This Row],[Verkehrsmittel]]="Motorrad",Tabelle212[[#This Row],[Entfernung (km) gesamt]],0)*Tabelle212[[#This Row],[Anzahl Studierende ]]</f>
        <v>0</v>
      </c>
      <c r="U16" s="9">
        <f>IF(Tabelle212[[#This Row],[Verkehrsmittel]]="Straßen-, S-, U-Bahn",Tabelle212[[#This Row],[Entfernung (km) gesamt]],0)*Tabelle212[[#This Row],[Anzahl Studierende ]]</f>
        <v>0</v>
      </c>
      <c r="V16" s="9">
        <f>IF(Tabelle212[[#This Row],[Verkehrsmittel]]="Fahrrad",Tabelle212[[#This Row],[Entfernung (km) gesamt]],0)*Tabelle212[[#This Row],[Anzahl Studierende ]]</f>
        <v>0</v>
      </c>
    </row>
    <row r="17" spans="1:22" s="8" customFormat="1">
      <c r="A17"/>
      <c r="B17" s="159"/>
      <c r="C17" s="111"/>
      <c r="D17" s="160"/>
      <c r="E17" s="111"/>
      <c r="F17" s="111"/>
      <c r="G17" s="111"/>
      <c r="H17" s="111">
        <f>Tabelle212[[#This Row],[Entfernung (km) einfach]]*2</f>
        <v>0</v>
      </c>
      <c r="I17" s="111"/>
      <c r="J17" s="140"/>
      <c r="K17" s="9">
        <f>IF(Tabelle212[[#This Row],[Verkehrsmittel]]="Bus",Tabelle212[[#This Row],[Entfernung (km) gesamt]],0)*Tabelle212[[#This Row],[Anzahl Studierende ]]</f>
        <v>0</v>
      </c>
      <c r="L17" s="9">
        <f>IF(Tabelle212[[#This Row],[Verkehrsmittel]]="Bahn",Tabelle212[[#This Row],[Anzahl Studierende ]]*Tabelle212[[#This Row],[Entfernung (km) gesamt]],0)</f>
        <v>0</v>
      </c>
      <c r="M17" s="9">
        <f>IF(Tabelle212[[#This Row],[Verkehrsmittel]]="PKW",Tabelle212[[#This Row],[Anzahl Studierende ]]*Tabelle212[[#This Row],[Entfernung (km) gesamt]],0)</f>
        <v>0</v>
      </c>
      <c r="N17" s="9">
        <f>IF(Tabelle212[[#This Row],[Verkehrsmittel]]="Flug", IF(AND(Tabelle212[[#This Row],[Entfernung (km) einfach]]&lt;500),Tabelle212[[#This Row],[Entfernung (km) gesamt]]), 0)*Tabelle212[[#This Row],[Anzahl Studierende ]]</f>
        <v>0</v>
      </c>
      <c r="O17" s="9">
        <f>IF(Tabelle212[[#This Row],[Verkehrsmittel]]="Flug", IF(AND(Tabelle212[[#This Row],[Entfernung (km) einfach]]&gt;500,Tabelle212[[#This Row],[Entfernung (km) einfach]]&lt;1000),Tabelle212[[#This Row],[Entfernung (km) gesamt]], 0), 0)*Tabelle212[[#This Row],[Anzahl Studierende ]]</f>
        <v>0</v>
      </c>
      <c r="P17" s="9">
        <f>IF(Tabelle212[[#This Row],[Verkehrsmittel]]="Flug", IF(AND(Tabelle212[[#This Row],[Entfernung (km) einfach]]&gt;1000,Tabelle212[[#This Row],[Entfernung (km) einfach]]&lt;2000),Tabelle212[[#This Row],[Entfernung (km) gesamt]], 0), 0)*Tabelle212[[#This Row],[Anzahl Studierende ]]</f>
        <v>0</v>
      </c>
      <c r="Q17" s="9">
        <f>IF(Tabelle212[[#This Row],[Verkehrsmittel]]="Flug", IF(AND(Tabelle212[[#This Row],[Entfernung (km) einfach]]&gt;2000,Tabelle212[[#This Row],[Entfernung (km) einfach]]&lt;5000),Tabelle212[[#This Row],[Entfernung (km) gesamt]], 0), 0)*Tabelle212[[#This Row],[Anzahl Studierende ]]</f>
        <v>0</v>
      </c>
      <c r="R17" s="9">
        <f>IF(Tabelle212[[#This Row],[Verkehrsmittel]]="Flug", IF(AND(Tabelle212[[#This Row],[Entfernung (km) einfach]]&gt;5000,Tabelle212[[#This Row],[Entfernung (km) einfach]]&lt;10000),Tabelle212[[#This Row],[Entfernung (km) gesamt]], 0), 0)*Tabelle212[[#This Row],[Anzahl Studierende ]]</f>
        <v>0</v>
      </c>
      <c r="S17" s="9">
        <f>IF(Tabelle212[[#This Row],[Verkehrsmittel]]="Flug", IF(AND(Tabelle212[[#This Row],[Entfernung (km) einfach]]&gt;10000),Tabelle212[[#This Row],[Entfernung (km) gesamt]]), 0)*Tabelle212[[#This Row],[Anzahl Studierende ]]</f>
        <v>0</v>
      </c>
      <c r="T17" s="9">
        <f>IF(Tabelle212[[#This Row],[Verkehrsmittel]]="Motorrad",Tabelle212[[#This Row],[Entfernung (km) gesamt]],0)*Tabelle212[[#This Row],[Anzahl Studierende ]]</f>
        <v>0</v>
      </c>
      <c r="U17" s="9">
        <f>IF(Tabelle212[[#This Row],[Verkehrsmittel]]="Straßen-, S-, U-Bahn",Tabelle212[[#This Row],[Entfernung (km) gesamt]],0)*Tabelle212[[#This Row],[Anzahl Studierende ]]</f>
        <v>0</v>
      </c>
      <c r="V17" s="9">
        <f>IF(Tabelle212[[#This Row],[Verkehrsmittel]]="Fahrrad",Tabelle212[[#This Row],[Entfernung (km) gesamt]],0)*Tabelle212[[#This Row],[Anzahl Studierende ]]</f>
        <v>0</v>
      </c>
    </row>
    <row r="18" spans="1:22" s="8" customFormat="1">
      <c r="A18"/>
      <c r="B18" s="159"/>
      <c r="C18" s="111"/>
      <c r="D18" s="160"/>
      <c r="E18" s="111"/>
      <c r="F18" s="111"/>
      <c r="G18" s="111"/>
      <c r="H18" s="111">
        <f>Tabelle212[[#This Row],[Entfernung (km) einfach]]*2</f>
        <v>0</v>
      </c>
      <c r="I18" s="111"/>
      <c r="J18" s="140"/>
      <c r="K18" s="9">
        <f>IF(Tabelle212[[#This Row],[Verkehrsmittel]]="Bus",Tabelle212[[#This Row],[Entfernung (km) gesamt]],0)*Tabelle212[[#This Row],[Anzahl Studierende ]]</f>
        <v>0</v>
      </c>
      <c r="L18" s="9">
        <f>IF(Tabelle212[[#This Row],[Verkehrsmittel]]="Bahn",Tabelle212[[#This Row],[Anzahl Studierende ]]*Tabelle212[[#This Row],[Entfernung (km) gesamt]],0)</f>
        <v>0</v>
      </c>
      <c r="M18" s="9">
        <f>IF(Tabelle212[[#This Row],[Verkehrsmittel]]="PKW",Tabelle212[[#This Row],[Anzahl Studierende ]]*Tabelle212[[#This Row],[Entfernung (km) gesamt]],0)</f>
        <v>0</v>
      </c>
      <c r="N18" s="9">
        <f>IF(Tabelle212[[#This Row],[Verkehrsmittel]]="Flug", IF(AND(Tabelle212[[#This Row],[Entfernung (km) einfach]]&lt;500),Tabelle212[[#This Row],[Entfernung (km) gesamt]]), 0)*Tabelle212[[#This Row],[Anzahl Studierende ]]</f>
        <v>0</v>
      </c>
      <c r="O18" s="9">
        <f>IF(Tabelle212[[#This Row],[Verkehrsmittel]]="Flug", IF(AND(Tabelle212[[#This Row],[Entfernung (km) einfach]]&gt;500,Tabelle212[[#This Row],[Entfernung (km) einfach]]&lt;1000),Tabelle212[[#This Row],[Entfernung (km) gesamt]], 0), 0)*Tabelle212[[#This Row],[Anzahl Studierende ]]</f>
        <v>0</v>
      </c>
      <c r="P18" s="9">
        <f>IF(Tabelle212[[#This Row],[Verkehrsmittel]]="Flug", IF(AND(Tabelle212[[#This Row],[Entfernung (km) einfach]]&gt;1000,Tabelle212[[#This Row],[Entfernung (km) einfach]]&lt;2000),Tabelle212[[#This Row],[Entfernung (km) gesamt]], 0), 0)*Tabelle212[[#This Row],[Anzahl Studierende ]]</f>
        <v>0</v>
      </c>
      <c r="Q18" s="9">
        <f>IF(Tabelle212[[#This Row],[Verkehrsmittel]]="Flug", IF(AND(Tabelle212[[#This Row],[Entfernung (km) einfach]]&gt;2000,Tabelle212[[#This Row],[Entfernung (km) einfach]]&lt;5000),Tabelle212[[#This Row],[Entfernung (km) gesamt]], 0), 0)*Tabelle212[[#This Row],[Anzahl Studierende ]]</f>
        <v>0</v>
      </c>
      <c r="R18" s="9">
        <f>IF(Tabelle212[[#This Row],[Verkehrsmittel]]="Flug", IF(AND(Tabelle212[[#This Row],[Entfernung (km) einfach]]&gt;5000,Tabelle212[[#This Row],[Entfernung (km) einfach]]&lt;10000),Tabelle212[[#This Row],[Entfernung (km) gesamt]], 0), 0)*Tabelle212[[#This Row],[Anzahl Studierende ]]</f>
        <v>0</v>
      </c>
      <c r="S18" s="9">
        <f>IF(Tabelle212[[#This Row],[Verkehrsmittel]]="Flug", IF(AND(Tabelle212[[#This Row],[Entfernung (km) einfach]]&gt;10000),Tabelle212[[#This Row],[Entfernung (km) gesamt]]), 0)*Tabelle212[[#This Row],[Anzahl Studierende ]]</f>
        <v>0</v>
      </c>
      <c r="T18" s="9">
        <f>IF(Tabelle212[[#This Row],[Verkehrsmittel]]="Motorrad",Tabelle212[[#This Row],[Entfernung (km) gesamt]],0)*Tabelle212[[#This Row],[Anzahl Studierende ]]</f>
        <v>0</v>
      </c>
      <c r="U18" s="9">
        <f>IF(Tabelle212[[#This Row],[Verkehrsmittel]]="Straßen-, S-, U-Bahn",Tabelle212[[#This Row],[Entfernung (km) gesamt]],0)*Tabelle212[[#This Row],[Anzahl Studierende ]]</f>
        <v>0</v>
      </c>
      <c r="V18" s="9">
        <f>IF(Tabelle212[[#This Row],[Verkehrsmittel]]="Fahrrad",Tabelle212[[#This Row],[Entfernung (km) gesamt]],0)*Tabelle212[[#This Row],[Anzahl Studierende ]]</f>
        <v>0</v>
      </c>
    </row>
    <row r="19" spans="1:22" s="8" customFormat="1">
      <c r="A19"/>
      <c r="B19" s="159"/>
      <c r="C19" s="111"/>
      <c r="D19" s="160"/>
      <c r="E19" s="111"/>
      <c r="F19" s="111"/>
      <c r="G19" s="111"/>
      <c r="H19" s="111">
        <f>Tabelle212[[#This Row],[Entfernung (km) einfach]]*2</f>
        <v>0</v>
      </c>
      <c r="I19" s="111"/>
      <c r="J19" s="140"/>
      <c r="K19" s="9">
        <f>IF(Tabelle212[[#This Row],[Verkehrsmittel]]="Bus",Tabelle212[[#This Row],[Entfernung (km) gesamt]],0)*Tabelle212[[#This Row],[Anzahl Studierende ]]</f>
        <v>0</v>
      </c>
      <c r="L19" s="9">
        <f>IF(Tabelle212[[#This Row],[Verkehrsmittel]]="Bahn",Tabelle212[[#This Row],[Anzahl Studierende ]]*Tabelle212[[#This Row],[Entfernung (km) gesamt]],0)</f>
        <v>0</v>
      </c>
      <c r="M19" s="9">
        <f>IF(Tabelle212[[#This Row],[Verkehrsmittel]]="PKW",Tabelle212[[#This Row],[Anzahl Studierende ]]*Tabelle212[[#This Row],[Entfernung (km) gesamt]],0)</f>
        <v>0</v>
      </c>
      <c r="N19" s="9">
        <f>IF(Tabelle212[[#This Row],[Verkehrsmittel]]="Flug", IF(AND(Tabelle212[[#This Row],[Entfernung (km) einfach]]&lt;500),Tabelle212[[#This Row],[Entfernung (km) gesamt]]), 0)*Tabelle212[[#This Row],[Anzahl Studierende ]]</f>
        <v>0</v>
      </c>
      <c r="O19" s="9">
        <f>IF(Tabelle212[[#This Row],[Verkehrsmittel]]="Flug", IF(AND(Tabelle212[[#This Row],[Entfernung (km) einfach]]&gt;500,Tabelle212[[#This Row],[Entfernung (km) einfach]]&lt;1000),Tabelle212[[#This Row],[Entfernung (km) gesamt]], 0), 0)*Tabelle212[[#This Row],[Anzahl Studierende ]]</f>
        <v>0</v>
      </c>
      <c r="P19" s="9">
        <f>IF(Tabelle212[[#This Row],[Verkehrsmittel]]="Flug", IF(AND(Tabelle212[[#This Row],[Entfernung (km) einfach]]&gt;1000,Tabelle212[[#This Row],[Entfernung (km) einfach]]&lt;2000),Tabelle212[[#This Row],[Entfernung (km) gesamt]], 0), 0)*Tabelle212[[#This Row],[Anzahl Studierende ]]</f>
        <v>0</v>
      </c>
      <c r="Q19" s="9">
        <f>IF(Tabelle212[[#This Row],[Verkehrsmittel]]="Flug", IF(AND(Tabelle212[[#This Row],[Entfernung (km) einfach]]&gt;2000,Tabelle212[[#This Row],[Entfernung (km) einfach]]&lt;5000),Tabelle212[[#This Row],[Entfernung (km) gesamt]], 0), 0)*Tabelle212[[#This Row],[Anzahl Studierende ]]</f>
        <v>0</v>
      </c>
      <c r="R19" s="9">
        <f>IF(Tabelle212[[#This Row],[Verkehrsmittel]]="Flug", IF(AND(Tabelle212[[#This Row],[Entfernung (km) einfach]]&gt;5000,Tabelle212[[#This Row],[Entfernung (km) einfach]]&lt;10000),Tabelle212[[#This Row],[Entfernung (km) gesamt]], 0), 0)*Tabelle212[[#This Row],[Anzahl Studierende ]]</f>
        <v>0</v>
      </c>
      <c r="S19" s="9">
        <f>IF(Tabelle212[[#This Row],[Verkehrsmittel]]="Flug", IF(AND(Tabelle212[[#This Row],[Entfernung (km) einfach]]&gt;10000),Tabelle212[[#This Row],[Entfernung (km) gesamt]]), 0)*Tabelle212[[#This Row],[Anzahl Studierende ]]</f>
        <v>0</v>
      </c>
      <c r="T19" s="9">
        <f>IF(Tabelle212[[#This Row],[Verkehrsmittel]]="Motorrad",Tabelle212[[#This Row],[Entfernung (km) gesamt]],0)*Tabelle212[[#This Row],[Anzahl Studierende ]]</f>
        <v>0</v>
      </c>
      <c r="U19" s="9">
        <f>IF(Tabelle212[[#This Row],[Verkehrsmittel]]="Straßen-, S-, U-Bahn",Tabelle212[[#This Row],[Entfernung (km) gesamt]],0)*Tabelle212[[#This Row],[Anzahl Studierende ]]</f>
        <v>0</v>
      </c>
      <c r="V19" s="9">
        <f>IF(Tabelle212[[#This Row],[Verkehrsmittel]]="Fahrrad",Tabelle212[[#This Row],[Entfernung (km) gesamt]],0)*Tabelle212[[#This Row],[Anzahl Studierende ]]</f>
        <v>0</v>
      </c>
    </row>
    <row r="20" spans="1:22" s="8" customFormat="1">
      <c r="A20"/>
      <c r="B20" s="138"/>
      <c r="C20" s="139"/>
      <c r="D20" s="160"/>
      <c r="E20" s="111"/>
      <c r="F20" s="111"/>
      <c r="G20" s="111"/>
      <c r="H20" s="111">
        <f>Tabelle212[[#This Row],[Entfernung (km) einfach]]*2</f>
        <v>0</v>
      </c>
      <c r="I20" s="111"/>
      <c r="J20" s="140"/>
      <c r="K20" s="9">
        <f>IF(Tabelle212[[#This Row],[Verkehrsmittel]]="Bus",Tabelle212[[#This Row],[Entfernung (km) gesamt]],0)*Tabelle212[[#This Row],[Anzahl Studierende ]]</f>
        <v>0</v>
      </c>
      <c r="L20" s="9">
        <f>IF(Tabelle212[[#This Row],[Verkehrsmittel]]="Bahn",Tabelle212[[#This Row],[Anzahl Studierende ]]*Tabelle212[[#This Row],[Entfernung (km) gesamt]],0)</f>
        <v>0</v>
      </c>
      <c r="M20" s="9">
        <f>IF(Tabelle212[[#This Row],[Verkehrsmittel]]="PKW",Tabelle212[[#This Row],[Anzahl Studierende ]]*Tabelle212[[#This Row],[Entfernung (km) gesamt]],0)</f>
        <v>0</v>
      </c>
      <c r="N20" s="9">
        <f>IF(Tabelle212[[#This Row],[Verkehrsmittel]]="Flug", IF(AND(Tabelle212[[#This Row],[Entfernung (km) einfach]]&lt;500),Tabelle212[[#This Row],[Entfernung (km) gesamt]]), 0)*Tabelle212[[#This Row],[Anzahl Studierende ]]</f>
        <v>0</v>
      </c>
      <c r="O20" s="9">
        <f>IF(Tabelle212[[#This Row],[Verkehrsmittel]]="Flug", IF(AND(Tabelle212[[#This Row],[Entfernung (km) einfach]]&gt;500,Tabelle212[[#This Row],[Entfernung (km) einfach]]&lt;1000),Tabelle212[[#This Row],[Entfernung (km) gesamt]], 0), 0)*Tabelle212[[#This Row],[Anzahl Studierende ]]</f>
        <v>0</v>
      </c>
      <c r="P20" s="9">
        <f>IF(Tabelle212[[#This Row],[Verkehrsmittel]]="Flug", IF(AND(Tabelle212[[#This Row],[Entfernung (km) einfach]]&gt;1000,Tabelle212[[#This Row],[Entfernung (km) einfach]]&lt;2000),Tabelle212[[#This Row],[Entfernung (km) gesamt]], 0), 0)*Tabelle212[[#This Row],[Anzahl Studierende ]]</f>
        <v>0</v>
      </c>
      <c r="Q20" s="9">
        <f>IF(Tabelle212[[#This Row],[Verkehrsmittel]]="Flug", IF(AND(Tabelle212[[#This Row],[Entfernung (km) einfach]]&gt;2000,Tabelle212[[#This Row],[Entfernung (km) einfach]]&lt;5000),Tabelle212[[#This Row],[Entfernung (km) gesamt]], 0), 0)*Tabelle212[[#This Row],[Anzahl Studierende ]]</f>
        <v>0</v>
      </c>
      <c r="R20" s="9">
        <f>IF(Tabelle212[[#This Row],[Verkehrsmittel]]="Flug", IF(AND(Tabelle212[[#This Row],[Entfernung (km) einfach]]&gt;5000,Tabelle212[[#This Row],[Entfernung (km) einfach]]&lt;10000),Tabelle212[[#This Row],[Entfernung (km) gesamt]], 0), 0)*Tabelle212[[#This Row],[Anzahl Studierende ]]</f>
        <v>0</v>
      </c>
      <c r="S20" s="9">
        <f>IF(Tabelle212[[#This Row],[Verkehrsmittel]]="Flug", IF(AND(Tabelle212[[#This Row],[Entfernung (km) einfach]]&gt;10000),Tabelle212[[#This Row],[Entfernung (km) gesamt]]), 0)*Tabelle212[[#This Row],[Anzahl Studierende ]]</f>
        <v>0</v>
      </c>
      <c r="T20" s="9">
        <f>IF(Tabelle212[[#This Row],[Verkehrsmittel]]="Motorrad",Tabelle212[[#This Row],[Entfernung (km) gesamt]],0)*Tabelle212[[#This Row],[Anzahl Studierende ]]</f>
        <v>0</v>
      </c>
      <c r="U20" s="9">
        <f>IF(Tabelle212[[#This Row],[Verkehrsmittel]]="Straßen-, S-, U-Bahn",Tabelle212[[#This Row],[Entfernung (km) gesamt]],0)*Tabelle212[[#This Row],[Anzahl Studierende ]]</f>
        <v>0</v>
      </c>
      <c r="V20" s="9">
        <f>IF(Tabelle212[[#This Row],[Verkehrsmittel]]="Fahrrad",Tabelle212[[#This Row],[Entfernung (km) gesamt]],0)*Tabelle212[[#This Row],[Anzahl Studierende ]]</f>
        <v>0</v>
      </c>
    </row>
    <row r="21" spans="1:22" s="8" customFormat="1">
      <c r="A21"/>
      <c r="B21" s="138"/>
      <c r="C21" s="139"/>
      <c r="D21" s="160"/>
      <c r="E21" s="111"/>
      <c r="F21" s="111"/>
      <c r="G21" s="111"/>
      <c r="H21" s="111">
        <f>Tabelle212[[#This Row],[Entfernung (km) einfach]]*2</f>
        <v>0</v>
      </c>
      <c r="I21" s="111"/>
      <c r="J21" s="140"/>
      <c r="K21" s="9">
        <f>IF(Tabelle212[[#This Row],[Verkehrsmittel]]="Bus",Tabelle212[[#This Row],[Entfernung (km) gesamt]],0)*Tabelle212[[#This Row],[Anzahl Studierende ]]</f>
        <v>0</v>
      </c>
      <c r="L21" s="9">
        <f>IF(Tabelle212[[#This Row],[Verkehrsmittel]]="Bahn",Tabelle212[[#This Row],[Anzahl Studierende ]]*Tabelle212[[#This Row],[Entfernung (km) gesamt]],0)</f>
        <v>0</v>
      </c>
      <c r="M21" s="9">
        <f>IF(Tabelle212[[#This Row],[Verkehrsmittel]]="PKW",Tabelle212[[#This Row],[Anzahl Studierende ]]*Tabelle212[[#This Row],[Entfernung (km) gesamt]],0)</f>
        <v>0</v>
      </c>
      <c r="N21" s="9">
        <f>IF(Tabelle212[[#This Row],[Verkehrsmittel]]="Flug", IF(AND(Tabelle212[[#This Row],[Entfernung (km) einfach]]&lt;500),Tabelle212[[#This Row],[Entfernung (km) gesamt]]), 0)*Tabelle212[[#This Row],[Anzahl Studierende ]]</f>
        <v>0</v>
      </c>
      <c r="O21" s="9">
        <f>IF(Tabelle212[[#This Row],[Verkehrsmittel]]="Flug", IF(AND(Tabelle212[[#This Row],[Entfernung (km) einfach]]&gt;500,Tabelle212[[#This Row],[Entfernung (km) einfach]]&lt;1000),Tabelle212[[#This Row],[Entfernung (km) gesamt]], 0), 0)*Tabelle212[[#This Row],[Anzahl Studierende ]]</f>
        <v>0</v>
      </c>
      <c r="P21" s="9">
        <f>IF(Tabelle212[[#This Row],[Verkehrsmittel]]="Flug", IF(AND(Tabelle212[[#This Row],[Entfernung (km) einfach]]&gt;1000,Tabelle212[[#This Row],[Entfernung (km) einfach]]&lt;2000),Tabelle212[[#This Row],[Entfernung (km) gesamt]], 0), 0)*Tabelle212[[#This Row],[Anzahl Studierende ]]</f>
        <v>0</v>
      </c>
      <c r="Q21" s="9">
        <f>IF(Tabelle212[[#This Row],[Verkehrsmittel]]="Flug", IF(AND(Tabelle212[[#This Row],[Entfernung (km) einfach]]&gt;2000,Tabelle212[[#This Row],[Entfernung (km) einfach]]&lt;5000),Tabelle212[[#This Row],[Entfernung (km) gesamt]], 0), 0)*Tabelle212[[#This Row],[Anzahl Studierende ]]</f>
        <v>0</v>
      </c>
      <c r="R21" s="9">
        <f>IF(Tabelle212[[#This Row],[Verkehrsmittel]]="Flug", IF(AND(Tabelle212[[#This Row],[Entfernung (km) einfach]]&gt;5000,Tabelle212[[#This Row],[Entfernung (km) einfach]]&lt;10000),Tabelle212[[#This Row],[Entfernung (km) gesamt]], 0), 0)*Tabelle212[[#This Row],[Anzahl Studierende ]]</f>
        <v>0</v>
      </c>
      <c r="S21" s="9">
        <f>IF(Tabelle212[[#This Row],[Verkehrsmittel]]="Flug", IF(AND(Tabelle212[[#This Row],[Entfernung (km) einfach]]&gt;10000),Tabelle212[[#This Row],[Entfernung (km) gesamt]]), 0)*Tabelle212[[#This Row],[Anzahl Studierende ]]</f>
        <v>0</v>
      </c>
      <c r="T21" s="9">
        <f>IF(Tabelle212[[#This Row],[Verkehrsmittel]]="Motorrad",Tabelle212[[#This Row],[Entfernung (km) gesamt]],0)*Tabelle212[[#This Row],[Anzahl Studierende ]]</f>
        <v>0</v>
      </c>
      <c r="U21" s="9">
        <f>IF(Tabelle212[[#This Row],[Verkehrsmittel]]="Straßen-, S-, U-Bahn",Tabelle212[[#This Row],[Entfernung (km) gesamt]],0)*Tabelle212[[#This Row],[Anzahl Studierende ]]</f>
        <v>0</v>
      </c>
      <c r="V21" s="9">
        <f>IF(Tabelle212[[#This Row],[Verkehrsmittel]]="Fahrrad",Tabelle212[[#This Row],[Entfernung (km) gesamt]],0)*Tabelle212[[#This Row],[Anzahl Studierende ]]</f>
        <v>0</v>
      </c>
    </row>
    <row r="22" spans="1:22" s="8" customFormat="1">
      <c r="A22"/>
      <c r="B22" s="138"/>
      <c r="C22" s="139"/>
      <c r="D22" s="161"/>
      <c r="E22" s="111"/>
      <c r="F22" s="111"/>
      <c r="G22" s="111"/>
      <c r="H22" s="111">
        <f>Tabelle212[[#This Row],[Entfernung (km) einfach]]*2</f>
        <v>0</v>
      </c>
      <c r="I22" s="111"/>
      <c r="J22" s="140"/>
      <c r="K22" s="9">
        <f>IF(Tabelle212[[#This Row],[Verkehrsmittel]]="Bus",Tabelle212[[#This Row],[Entfernung (km) gesamt]],0)*Tabelle212[[#This Row],[Anzahl Studierende ]]</f>
        <v>0</v>
      </c>
      <c r="L22" s="9">
        <f>IF(Tabelle212[[#This Row],[Verkehrsmittel]]="Bahn",Tabelle212[[#This Row],[Anzahl Studierende ]]*Tabelle212[[#This Row],[Entfernung (km) gesamt]],0)</f>
        <v>0</v>
      </c>
      <c r="M22" s="9">
        <f>IF(Tabelle212[[#This Row],[Verkehrsmittel]]="PKW",Tabelle212[[#This Row],[Anzahl Studierende ]]*Tabelle212[[#This Row],[Entfernung (km) gesamt]],0)</f>
        <v>0</v>
      </c>
      <c r="N22" s="9">
        <f>IF(Tabelle212[[#This Row],[Verkehrsmittel]]="Flug", IF(AND(Tabelle212[[#This Row],[Entfernung (km) einfach]]&lt;500),Tabelle212[[#This Row],[Entfernung (km) gesamt]]), 0)*Tabelle212[[#This Row],[Anzahl Studierende ]]</f>
        <v>0</v>
      </c>
      <c r="O22" s="9">
        <f>IF(Tabelle212[[#This Row],[Verkehrsmittel]]="Flug", IF(AND(Tabelle212[[#This Row],[Entfernung (km) einfach]]&gt;500,Tabelle212[[#This Row],[Entfernung (km) einfach]]&lt;1000),Tabelle212[[#This Row],[Entfernung (km) gesamt]], 0), 0)*Tabelle212[[#This Row],[Anzahl Studierende ]]</f>
        <v>0</v>
      </c>
      <c r="P22" s="9">
        <f>IF(Tabelle212[[#This Row],[Verkehrsmittel]]="Flug", IF(AND(Tabelle212[[#This Row],[Entfernung (km) einfach]]&gt;1000,Tabelle212[[#This Row],[Entfernung (km) einfach]]&lt;2000),Tabelle212[[#This Row],[Entfernung (km) gesamt]], 0), 0)*Tabelle212[[#This Row],[Anzahl Studierende ]]</f>
        <v>0</v>
      </c>
      <c r="Q22" s="9">
        <f>IF(Tabelle212[[#This Row],[Verkehrsmittel]]="Flug", IF(AND(Tabelle212[[#This Row],[Entfernung (km) einfach]]&gt;2000,Tabelle212[[#This Row],[Entfernung (km) einfach]]&lt;5000),Tabelle212[[#This Row],[Entfernung (km) gesamt]], 0), 0)*Tabelle212[[#This Row],[Anzahl Studierende ]]</f>
        <v>0</v>
      </c>
      <c r="R22" s="9">
        <f>IF(Tabelle212[[#This Row],[Verkehrsmittel]]="Flug", IF(AND(Tabelle212[[#This Row],[Entfernung (km) einfach]]&gt;5000,Tabelle212[[#This Row],[Entfernung (km) einfach]]&lt;10000),Tabelle212[[#This Row],[Entfernung (km) gesamt]], 0), 0)*Tabelle212[[#This Row],[Anzahl Studierende ]]</f>
        <v>0</v>
      </c>
      <c r="S22" s="9">
        <f>IF(Tabelle212[[#This Row],[Verkehrsmittel]]="Flug", IF(AND(Tabelle212[[#This Row],[Entfernung (km) einfach]]&gt;10000),Tabelle212[[#This Row],[Entfernung (km) gesamt]]), 0)*Tabelle212[[#This Row],[Anzahl Studierende ]]</f>
        <v>0</v>
      </c>
      <c r="T22" s="9">
        <f>IF(Tabelle212[[#This Row],[Verkehrsmittel]]="Motorrad",Tabelle212[[#This Row],[Entfernung (km) gesamt]],0)*Tabelle212[[#This Row],[Anzahl Studierende ]]</f>
        <v>0</v>
      </c>
      <c r="U22" s="9">
        <f>IF(Tabelle212[[#This Row],[Verkehrsmittel]]="Straßen-, S-, U-Bahn",Tabelle212[[#This Row],[Entfernung (km) gesamt]],0)*Tabelle212[[#This Row],[Anzahl Studierende ]]</f>
        <v>0</v>
      </c>
      <c r="V22" s="9">
        <f>IF(Tabelle212[[#This Row],[Verkehrsmittel]]="Fahrrad",Tabelle212[[#This Row],[Entfernung (km) gesamt]],0)*Tabelle212[[#This Row],[Anzahl Studierende ]]</f>
        <v>0</v>
      </c>
    </row>
    <row r="23" spans="1:22" s="8" customFormat="1">
      <c r="A23"/>
      <c r="B23" s="138"/>
      <c r="C23" s="139"/>
      <c r="D23" s="160"/>
      <c r="E23" s="111"/>
      <c r="F23" s="111"/>
      <c r="G23" s="111"/>
      <c r="H23" s="111">
        <f>Tabelle212[[#This Row],[Entfernung (km) einfach]]*2</f>
        <v>0</v>
      </c>
      <c r="I23" s="111"/>
      <c r="J23" s="140"/>
      <c r="K23" s="33">
        <f>IF(Tabelle212[[#This Row],[Verkehrsmittel]]="Bus",Tabelle212[[#This Row],[Entfernung (km) gesamt]],0)*Tabelle212[[#This Row],[Anzahl Studierende ]]</f>
        <v>0</v>
      </c>
      <c r="L23" s="33">
        <f>IF(Tabelle212[[#This Row],[Verkehrsmittel]]="Bahn",Tabelle212[[#This Row],[Anzahl Studierende ]]*Tabelle212[[#This Row],[Entfernung (km) gesamt]],0)</f>
        <v>0</v>
      </c>
      <c r="M23" s="33">
        <f>IF(Tabelle212[[#This Row],[Verkehrsmittel]]="PKW",Tabelle212[[#This Row],[Anzahl Studierende ]]*Tabelle212[[#This Row],[Entfernung (km) gesamt]],0)</f>
        <v>0</v>
      </c>
      <c r="N23" s="33">
        <f>IF(Tabelle212[[#This Row],[Verkehrsmittel]]="Flug", IF(AND(Tabelle212[[#This Row],[Entfernung (km) einfach]]&lt;500),Tabelle212[[#This Row],[Entfernung (km) gesamt]]), 0)*Tabelle212[[#This Row],[Anzahl Studierende ]]</f>
        <v>0</v>
      </c>
      <c r="O23" s="33">
        <f>IF(Tabelle212[[#This Row],[Verkehrsmittel]]="Flug", IF(AND(Tabelle212[[#This Row],[Entfernung (km) einfach]]&gt;500,Tabelle212[[#This Row],[Entfernung (km) einfach]]&lt;1000),Tabelle212[[#This Row],[Entfernung (km) gesamt]], 0), 0)*Tabelle212[[#This Row],[Anzahl Studierende ]]</f>
        <v>0</v>
      </c>
      <c r="P23" s="33">
        <f>IF(Tabelle212[[#This Row],[Verkehrsmittel]]="Flug", IF(AND(Tabelle212[[#This Row],[Entfernung (km) einfach]]&gt;1000,Tabelle212[[#This Row],[Entfernung (km) einfach]]&lt;2000),Tabelle212[[#This Row],[Entfernung (km) gesamt]], 0), 0)*Tabelle212[[#This Row],[Anzahl Studierende ]]</f>
        <v>0</v>
      </c>
      <c r="Q23" s="33">
        <f>IF(Tabelle212[[#This Row],[Verkehrsmittel]]="Flug", IF(AND(Tabelle212[[#This Row],[Entfernung (km) einfach]]&gt;2000,Tabelle212[[#This Row],[Entfernung (km) einfach]]&lt;5000),Tabelle212[[#This Row],[Entfernung (km) gesamt]], 0), 0)*Tabelle212[[#This Row],[Anzahl Studierende ]]</f>
        <v>0</v>
      </c>
      <c r="R23" s="33">
        <f>IF(Tabelle212[[#This Row],[Verkehrsmittel]]="Flug", IF(AND(Tabelle212[[#This Row],[Entfernung (km) einfach]]&gt;5000,Tabelle212[[#This Row],[Entfernung (km) einfach]]&lt;10000),Tabelle212[[#This Row],[Entfernung (km) gesamt]], 0), 0)*Tabelle212[[#This Row],[Anzahl Studierende ]]</f>
        <v>0</v>
      </c>
      <c r="S23" s="33">
        <f>IF(Tabelle212[[#This Row],[Verkehrsmittel]]="Flug", IF(AND(Tabelle212[[#This Row],[Entfernung (km) einfach]]&gt;10000),Tabelle212[[#This Row],[Entfernung (km) gesamt]]), 0)*Tabelle212[[#This Row],[Anzahl Studierende ]]</f>
        <v>0</v>
      </c>
      <c r="T23" s="33">
        <f>IF(Tabelle212[[#This Row],[Verkehrsmittel]]="Motorrad",Tabelle212[[#This Row],[Entfernung (km) gesamt]],0)*Tabelle212[[#This Row],[Anzahl Studierende ]]</f>
        <v>0</v>
      </c>
      <c r="U23" s="33">
        <f>IF(Tabelle212[[#This Row],[Verkehrsmittel]]="Straßen-, S-, U-Bahn",Tabelle212[[#This Row],[Entfernung (km) gesamt]],0)*Tabelle212[[#This Row],[Anzahl Studierende ]]</f>
        <v>0</v>
      </c>
      <c r="V23" s="33">
        <f>IF(Tabelle212[[#This Row],[Verkehrsmittel]]="Fahrrad",Tabelle212[[#This Row],[Entfernung (km) gesamt]],0)*Tabelle212[[#This Row],[Anzahl Studierende ]]</f>
        <v>0</v>
      </c>
    </row>
    <row r="24" spans="1:22" s="8" customFormat="1">
      <c r="B24" s="138"/>
      <c r="C24" s="139"/>
      <c r="D24" s="160"/>
      <c r="E24" s="111"/>
      <c r="F24" s="111"/>
      <c r="G24" s="111"/>
      <c r="H24" s="111">
        <f>Tabelle212[[#This Row],[Entfernung (km) einfach]]*2</f>
        <v>0</v>
      </c>
      <c r="I24" s="111"/>
      <c r="J24" s="140"/>
      <c r="K24" s="33">
        <f>IF(Tabelle212[[#This Row],[Verkehrsmittel]]="Bus",Tabelle212[[#This Row],[Entfernung (km) gesamt]],0)*Tabelle212[[#This Row],[Anzahl Studierende ]]</f>
        <v>0</v>
      </c>
      <c r="L24" s="33">
        <f>IF(Tabelle212[[#This Row],[Verkehrsmittel]]="Bahn",Tabelle212[[#This Row],[Anzahl Studierende ]]*Tabelle212[[#This Row],[Entfernung (km) gesamt]],0)</f>
        <v>0</v>
      </c>
      <c r="M24" s="33">
        <f>IF(Tabelle212[[#This Row],[Verkehrsmittel]]="PKW",Tabelle212[[#This Row],[Anzahl Studierende ]]*Tabelle212[[#This Row],[Entfernung (km) gesamt]],0)</f>
        <v>0</v>
      </c>
      <c r="N24" s="33">
        <f>IF(Tabelle212[[#This Row],[Verkehrsmittel]]="Flug", IF(AND(Tabelle212[[#This Row],[Entfernung (km) einfach]]&lt;500),Tabelle212[[#This Row],[Entfernung (km) gesamt]]), 0)*Tabelle212[[#This Row],[Anzahl Studierende ]]</f>
        <v>0</v>
      </c>
      <c r="O24" s="33">
        <f>IF(Tabelle212[[#This Row],[Verkehrsmittel]]="Flug", IF(AND(Tabelle212[[#This Row],[Entfernung (km) einfach]]&gt;500,Tabelle212[[#This Row],[Entfernung (km) einfach]]&lt;1000),Tabelle212[[#This Row],[Entfernung (km) gesamt]], 0), 0)*Tabelle212[[#This Row],[Anzahl Studierende ]]</f>
        <v>0</v>
      </c>
      <c r="P24" s="33">
        <f>IF(Tabelle212[[#This Row],[Verkehrsmittel]]="Flug", IF(AND(Tabelle212[[#This Row],[Entfernung (km) einfach]]&gt;1000,Tabelle212[[#This Row],[Entfernung (km) einfach]]&lt;2000),Tabelle212[[#This Row],[Entfernung (km) gesamt]], 0), 0)*Tabelle212[[#This Row],[Anzahl Studierende ]]</f>
        <v>0</v>
      </c>
      <c r="Q24" s="33">
        <f>IF(Tabelle212[[#This Row],[Verkehrsmittel]]="Flug", IF(AND(Tabelle212[[#This Row],[Entfernung (km) einfach]]&gt;2000,Tabelle212[[#This Row],[Entfernung (km) einfach]]&lt;5000),Tabelle212[[#This Row],[Entfernung (km) gesamt]], 0), 0)*Tabelle212[[#This Row],[Anzahl Studierende ]]</f>
        <v>0</v>
      </c>
      <c r="R24" s="33">
        <f>IF(Tabelle212[[#This Row],[Verkehrsmittel]]="Flug", IF(AND(Tabelle212[[#This Row],[Entfernung (km) einfach]]&gt;5000,Tabelle212[[#This Row],[Entfernung (km) einfach]]&lt;10000),Tabelle212[[#This Row],[Entfernung (km) gesamt]], 0), 0)*Tabelle212[[#This Row],[Anzahl Studierende ]]</f>
        <v>0</v>
      </c>
      <c r="S24" s="33">
        <f>IF(Tabelle212[[#This Row],[Verkehrsmittel]]="Flug", IF(AND(Tabelle212[[#This Row],[Entfernung (km) einfach]]&gt;10000),Tabelle212[[#This Row],[Entfernung (km) gesamt]]), 0)*Tabelle212[[#This Row],[Anzahl Studierende ]]</f>
        <v>0</v>
      </c>
      <c r="T24" s="33">
        <f>IF(Tabelle212[[#This Row],[Verkehrsmittel]]="Motorrad",Tabelle212[[#This Row],[Entfernung (km) gesamt]],0)*Tabelle212[[#This Row],[Anzahl Studierende ]]</f>
        <v>0</v>
      </c>
      <c r="U24" s="33">
        <f>IF(Tabelle212[[#This Row],[Verkehrsmittel]]="Straßen-, S-, U-Bahn",Tabelle212[[#This Row],[Entfernung (km) gesamt]],0)*Tabelle212[[#This Row],[Anzahl Studierende ]]</f>
        <v>0</v>
      </c>
      <c r="V24" s="33">
        <f>IF(Tabelle212[[#This Row],[Verkehrsmittel]]="Fahrrad",Tabelle212[[#This Row],[Entfernung (km) gesamt]],0)*Tabelle212[[#This Row],[Anzahl Studierende ]]</f>
        <v>0</v>
      </c>
    </row>
    <row r="25" spans="1:22" s="8" customFormat="1">
      <c r="B25" s="138"/>
      <c r="C25" s="139"/>
      <c r="D25" s="160"/>
      <c r="E25" s="111"/>
      <c r="F25" s="111"/>
      <c r="G25" s="111"/>
      <c r="H25" s="111">
        <f>Tabelle212[[#This Row],[Entfernung (km) einfach]]*2</f>
        <v>0</v>
      </c>
      <c r="I25" s="111"/>
      <c r="J25" s="140"/>
      <c r="K25" s="33">
        <f>IF(Tabelle212[[#This Row],[Verkehrsmittel]]="Bus",Tabelle212[[#This Row],[Entfernung (km) gesamt]],0)*Tabelle212[[#This Row],[Anzahl Studierende ]]</f>
        <v>0</v>
      </c>
      <c r="L25" s="33">
        <f>IF(Tabelle212[[#This Row],[Verkehrsmittel]]="Bahn",Tabelle212[[#This Row],[Anzahl Studierende ]]*Tabelle212[[#This Row],[Entfernung (km) gesamt]],0)</f>
        <v>0</v>
      </c>
      <c r="M25" s="33">
        <f>IF(Tabelle212[[#This Row],[Verkehrsmittel]]="PKW",Tabelle212[[#This Row],[Anzahl Studierende ]]*Tabelle212[[#This Row],[Entfernung (km) gesamt]],0)</f>
        <v>0</v>
      </c>
      <c r="N25" s="33">
        <f>IF(Tabelle212[[#This Row],[Verkehrsmittel]]="Flug", IF(AND(Tabelle212[[#This Row],[Entfernung (km) einfach]]&lt;500),Tabelle212[[#This Row],[Entfernung (km) gesamt]]), 0)*Tabelle212[[#This Row],[Anzahl Studierende ]]</f>
        <v>0</v>
      </c>
      <c r="O25" s="33">
        <f>IF(Tabelle212[[#This Row],[Verkehrsmittel]]="Flug", IF(AND(Tabelle212[[#This Row],[Entfernung (km) einfach]]&gt;500,Tabelle212[[#This Row],[Entfernung (km) einfach]]&lt;1000),Tabelle212[[#This Row],[Entfernung (km) gesamt]], 0), 0)*Tabelle212[[#This Row],[Anzahl Studierende ]]</f>
        <v>0</v>
      </c>
      <c r="P25" s="33">
        <f>IF(Tabelle212[[#This Row],[Verkehrsmittel]]="Flug", IF(AND(Tabelle212[[#This Row],[Entfernung (km) einfach]]&gt;1000,Tabelle212[[#This Row],[Entfernung (km) einfach]]&lt;2000),Tabelle212[[#This Row],[Entfernung (km) gesamt]], 0), 0)*Tabelle212[[#This Row],[Anzahl Studierende ]]</f>
        <v>0</v>
      </c>
      <c r="Q25" s="33">
        <f>IF(Tabelle212[[#This Row],[Verkehrsmittel]]="Flug", IF(AND(Tabelle212[[#This Row],[Entfernung (km) einfach]]&gt;2000,Tabelle212[[#This Row],[Entfernung (km) einfach]]&lt;5000),Tabelle212[[#This Row],[Entfernung (km) gesamt]], 0), 0)*Tabelle212[[#This Row],[Anzahl Studierende ]]</f>
        <v>0</v>
      </c>
      <c r="R25" s="33">
        <f>IF(Tabelle212[[#This Row],[Verkehrsmittel]]="Flug", IF(AND(Tabelle212[[#This Row],[Entfernung (km) einfach]]&gt;5000,Tabelle212[[#This Row],[Entfernung (km) einfach]]&lt;10000),Tabelle212[[#This Row],[Entfernung (km) gesamt]], 0), 0)*Tabelle212[[#This Row],[Anzahl Studierende ]]</f>
        <v>0</v>
      </c>
      <c r="S25" s="33">
        <f>IF(Tabelle212[[#This Row],[Verkehrsmittel]]="Flug", IF(AND(Tabelle212[[#This Row],[Entfernung (km) einfach]]&gt;10000),Tabelle212[[#This Row],[Entfernung (km) gesamt]]), 0)*Tabelle212[[#This Row],[Anzahl Studierende ]]</f>
        <v>0</v>
      </c>
      <c r="T25" s="33">
        <f>IF(Tabelle212[[#This Row],[Verkehrsmittel]]="Motorrad",Tabelle212[[#This Row],[Entfernung (km) gesamt]],0)*Tabelle212[[#This Row],[Anzahl Studierende ]]</f>
        <v>0</v>
      </c>
      <c r="U25" s="33">
        <f>IF(Tabelle212[[#This Row],[Verkehrsmittel]]="Straßen-, S-, U-Bahn",Tabelle212[[#This Row],[Entfernung (km) gesamt]],0)*Tabelle212[[#This Row],[Anzahl Studierende ]]</f>
        <v>0</v>
      </c>
      <c r="V25" s="33">
        <f>IF(Tabelle212[[#This Row],[Verkehrsmittel]]="Fahrrad",Tabelle212[[#This Row],[Entfernung (km) gesamt]],0)*Tabelle212[[#This Row],[Anzahl Studierende ]]</f>
        <v>0</v>
      </c>
    </row>
    <row r="26" spans="1:22" s="8" customFormat="1">
      <c r="B26" s="138"/>
      <c r="C26" s="139"/>
      <c r="D26" s="160"/>
      <c r="E26" s="111"/>
      <c r="F26" s="111"/>
      <c r="G26" s="111"/>
      <c r="H26" s="111">
        <f>Tabelle212[[#This Row],[Entfernung (km) einfach]]*2</f>
        <v>0</v>
      </c>
      <c r="I26" s="111"/>
      <c r="J26" s="140"/>
      <c r="K26" s="33">
        <f>IF(Tabelle212[[#This Row],[Verkehrsmittel]]="Bus",Tabelle212[[#This Row],[Entfernung (km) gesamt]],0)*Tabelle212[[#This Row],[Anzahl Studierende ]]</f>
        <v>0</v>
      </c>
      <c r="L26" s="33">
        <f>IF(Tabelle212[[#This Row],[Verkehrsmittel]]="Bahn",Tabelle212[[#This Row],[Anzahl Studierende ]]*Tabelle212[[#This Row],[Entfernung (km) gesamt]],0)</f>
        <v>0</v>
      </c>
      <c r="M26" s="33">
        <f>IF(Tabelle212[[#This Row],[Verkehrsmittel]]="PKW",Tabelle212[[#This Row],[Anzahl Studierende ]]*Tabelle212[[#This Row],[Entfernung (km) gesamt]],0)</f>
        <v>0</v>
      </c>
      <c r="N26" s="33">
        <f>IF(Tabelle212[[#This Row],[Verkehrsmittel]]="Flug", IF(AND(Tabelle212[[#This Row],[Entfernung (km) einfach]]&lt;500),Tabelle212[[#This Row],[Entfernung (km) gesamt]]), 0)*Tabelle212[[#This Row],[Anzahl Studierende ]]</f>
        <v>0</v>
      </c>
      <c r="O26" s="33">
        <f>IF(Tabelle212[[#This Row],[Verkehrsmittel]]="Flug", IF(AND(Tabelle212[[#This Row],[Entfernung (km) einfach]]&gt;500,Tabelle212[[#This Row],[Entfernung (km) einfach]]&lt;1000),Tabelle212[[#This Row],[Entfernung (km) gesamt]], 0), 0)*Tabelle212[[#This Row],[Anzahl Studierende ]]</f>
        <v>0</v>
      </c>
      <c r="P26" s="33">
        <f>IF(Tabelle212[[#This Row],[Verkehrsmittel]]="Flug", IF(AND(Tabelle212[[#This Row],[Entfernung (km) einfach]]&gt;1000,Tabelle212[[#This Row],[Entfernung (km) einfach]]&lt;2000),Tabelle212[[#This Row],[Entfernung (km) gesamt]], 0), 0)*Tabelle212[[#This Row],[Anzahl Studierende ]]</f>
        <v>0</v>
      </c>
      <c r="Q26" s="33">
        <f>IF(Tabelle212[[#This Row],[Verkehrsmittel]]="Flug", IF(AND(Tabelle212[[#This Row],[Entfernung (km) einfach]]&gt;2000,Tabelle212[[#This Row],[Entfernung (km) einfach]]&lt;5000),Tabelle212[[#This Row],[Entfernung (km) gesamt]], 0), 0)*Tabelle212[[#This Row],[Anzahl Studierende ]]</f>
        <v>0</v>
      </c>
      <c r="R26" s="33">
        <f>IF(Tabelle212[[#This Row],[Verkehrsmittel]]="Flug", IF(AND(Tabelle212[[#This Row],[Entfernung (km) einfach]]&gt;5000,Tabelle212[[#This Row],[Entfernung (km) einfach]]&lt;10000),Tabelle212[[#This Row],[Entfernung (km) gesamt]], 0), 0)*Tabelle212[[#This Row],[Anzahl Studierende ]]</f>
        <v>0</v>
      </c>
      <c r="S26" s="33">
        <f>IF(Tabelle212[[#This Row],[Verkehrsmittel]]="Flug", IF(AND(Tabelle212[[#This Row],[Entfernung (km) einfach]]&gt;10000),Tabelle212[[#This Row],[Entfernung (km) gesamt]]), 0)*Tabelle212[[#This Row],[Anzahl Studierende ]]</f>
        <v>0</v>
      </c>
      <c r="T26" s="33">
        <f>IF(Tabelle212[[#This Row],[Verkehrsmittel]]="Motorrad",Tabelle212[[#This Row],[Entfernung (km) gesamt]],0)*Tabelle212[[#This Row],[Anzahl Studierende ]]</f>
        <v>0</v>
      </c>
      <c r="U26" s="33">
        <f>IF(Tabelle212[[#This Row],[Verkehrsmittel]]="Straßen-, S-, U-Bahn",Tabelle212[[#This Row],[Entfernung (km) gesamt]],0)*Tabelle212[[#This Row],[Anzahl Studierende ]]</f>
        <v>0</v>
      </c>
      <c r="V26" s="33">
        <f>IF(Tabelle212[[#This Row],[Verkehrsmittel]]="Fahrrad",Tabelle212[[#This Row],[Entfernung (km) gesamt]],0)*Tabelle212[[#This Row],[Anzahl Studierende ]]</f>
        <v>0</v>
      </c>
    </row>
    <row r="27" spans="1:22" s="8" customFormat="1">
      <c r="B27" s="138"/>
      <c r="C27" s="139"/>
      <c r="D27" s="160"/>
      <c r="E27" s="111"/>
      <c r="F27" s="111"/>
      <c r="G27" s="111"/>
      <c r="H27" s="111">
        <f>Tabelle212[[#This Row],[Entfernung (km) einfach]]*2</f>
        <v>0</v>
      </c>
      <c r="I27" s="111"/>
      <c r="J27" s="140"/>
      <c r="K27" s="33">
        <f>IF(Tabelle212[[#This Row],[Verkehrsmittel]]="Bus",Tabelle212[[#This Row],[Entfernung (km) gesamt]],0)*Tabelle212[[#This Row],[Anzahl Studierende ]]</f>
        <v>0</v>
      </c>
      <c r="L27" s="33">
        <f>IF(Tabelle212[[#This Row],[Verkehrsmittel]]="Bahn",Tabelle212[[#This Row],[Anzahl Studierende ]]*Tabelle212[[#This Row],[Entfernung (km) gesamt]],0)</f>
        <v>0</v>
      </c>
      <c r="M27" s="33">
        <f>IF(Tabelle212[[#This Row],[Verkehrsmittel]]="PKW",Tabelle212[[#This Row],[Anzahl Studierende ]]*Tabelle212[[#This Row],[Entfernung (km) gesamt]],0)</f>
        <v>0</v>
      </c>
      <c r="N27" s="33">
        <f>IF(Tabelle212[[#This Row],[Verkehrsmittel]]="Flug", IF(AND(Tabelle212[[#This Row],[Entfernung (km) einfach]]&lt;500),Tabelle212[[#This Row],[Entfernung (km) gesamt]]), 0)*Tabelle212[[#This Row],[Anzahl Studierende ]]</f>
        <v>0</v>
      </c>
      <c r="O27" s="33">
        <f>IF(Tabelle212[[#This Row],[Verkehrsmittel]]="Flug", IF(AND(Tabelle212[[#This Row],[Entfernung (km) einfach]]&gt;500,Tabelle212[[#This Row],[Entfernung (km) einfach]]&lt;1000),Tabelle212[[#This Row],[Entfernung (km) gesamt]], 0), 0)*Tabelle212[[#This Row],[Anzahl Studierende ]]</f>
        <v>0</v>
      </c>
      <c r="P27" s="33">
        <f>IF(Tabelle212[[#This Row],[Verkehrsmittel]]="Flug", IF(AND(Tabelle212[[#This Row],[Entfernung (km) einfach]]&gt;1000,Tabelle212[[#This Row],[Entfernung (km) einfach]]&lt;2000),Tabelle212[[#This Row],[Entfernung (km) gesamt]], 0), 0)*Tabelle212[[#This Row],[Anzahl Studierende ]]</f>
        <v>0</v>
      </c>
      <c r="Q27" s="33">
        <f>IF(Tabelle212[[#This Row],[Verkehrsmittel]]="Flug", IF(AND(Tabelle212[[#This Row],[Entfernung (km) einfach]]&gt;2000,Tabelle212[[#This Row],[Entfernung (km) einfach]]&lt;5000),Tabelle212[[#This Row],[Entfernung (km) gesamt]], 0), 0)*Tabelle212[[#This Row],[Anzahl Studierende ]]</f>
        <v>0</v>
      </c>
      <c r="R27" s="33">
        <f>IF(Tabelle212[[#This Row],[Verkehrsmittel]]="Flug", IF(AND(Tabelle212[[#This Row],[Entfernung (km) einfach]]&gt;5000,Tabelle212[[#This Row],[Entfernung (km) einfach]]&lt;10000),Tabelle212[[#This Row],[Entfernung (km) gesamt]], 0), 0)*Tabelle212[[#This Row],[Anzahl Studierende ]]</f>
        <v>0</v>
      </c>
      <c r="S27" s="33">
        <f>IF(Tabelle212[[#This Row],[Verkehrsmittel]]="Flug", IF(AND(Tabelle212[[#This Row],[Entfernung (km) einfach]]&gt;10000),Tabelle212[[#This Row],[Entfernung (km) gesamt]]), 0)*Tabelle212[[#This Row],[Anzahl Studierende ]]</f>
        <v>0</v>
      </c>
      <c r="T27" s="33">
        <f>IF(Tabelle212[[#This Row],[Verkehrsmittel]]="Motorrad",Tabelle212[[#This Row],[Entfernung (km) gesamt]],0)*Tabelle212[[#This Row],[Anzahl Studierende ]]</f>
        <v>0</v>
      </c>
      <c r="U27" s="33">
        <f>IF(Tabelle212[[#This Row],[Verkehrsmittel]]="Straßen-, S-, U-Bahn",Tabelle212[[#This Row],[Entfernung (km) gesamt]],0)*Tabelle212[[#This Row],[Anzahl Studierende ]]</f>
        <v>0</v>
      </c>
      <c r="V27" s="33">
        <f>IF(Tabelle212[[#This Row],[Verkehrsmittel]]="Fahrrad",Tabelle212[[#This Row],[Entfernung (km) gesamt]],0)*Tabelle212[[#This Row],[Anzahl Studierende ]]</f>
        <v>0</v>
      </c>
    </row>
    <row r="28" spans="1:22" s="8" customFormat="1">
      <c r="B28" s="138"/>
      <c r="C28" s="139"/>
      <c r="D28" s="160"/>
      <c r="E28" s="111"/>
      <c r="F28" s="111"/>
      <c r="G28" s="111"/>
      <c r="H28" s="111">
        <f>Tabelle212[[#This Row],[Entfernung (km) einfach]]*2</f>
        <v>0</v>
      </c>
      <c r="I28" s="111"/>
      <c r="J28" s="140"/>
      <c r="K28" s="33">
        <f>IF(Tabelle212[[#This Row],[Verkehrsmittel]]="Bus",Tabelle212[[#This Row],[Entfernung (km) gesamt]],0)*Tabelle212[[#This Row],[Anzahl Studierende ]]</f>
        <v>0</v>
      </c>
      <c r="L28" s="33">
        <f>IF(Tabelle212[[#This Row],[Verkehrsmittel]]="Bahn",Tabelle212[[#This Row],[Anzahl Studierende ]]*Tabelle212[[#This Row],[Entfernung (km) gesamt]],0)</f>
        <v>0</v>
      </c>
      <c r="M28" s="33">
        <f>IF(Tabelle212[[#This Row],[Verkehrsmittel]]="PKW",Tabelle212[[#This Row],[Anzahl Studierende ]]*Tabelle212[[#This Row],[Entfernung (km) gesamt]],0)</f>
        <v>0</v>
      </c>
      <c r="N28" s="33">
        <f>IF(Tabelle212[[#This Row],[Verkehrsmittel]]="Flug", IF(AND(Tabelle212[[#This Row],[Entfernung (km) einfach]]&lt;500),Tabelle212[[#This Row],[Entfernung (km) gesamt]]), 0)*Tabelle212[[#This Row],[Anzahl Studierende ]]</f>
        <v>0</v>
      </c>
      <c r="O28" s="33">
        <f>IF(Tabelle212[[#This Row],[Verkehrsmittel]]="Flug", IF(AND(Tabelle212[[#This Row],[Entfernung (km) einfach]]&gt;500,Tabelle212[[#This Row],[Entfernung (km) einfach]]&lt;1000),Tabelle212[[#This Row],[Entfernung (km) gesamt]], 0), 0)*Tabelle212[[#This Row],[Anzahl Studierende ]]</f>
        <v>0</v>
      </c>
      <c r="P28" s="33">
        <f>IF(Tabelle212[[#This Row],[Verkehrsmittel]]="Flug", IF(AND(Tabelle212[[#This Row],[Entfernung (km) einfach]]&gt;1000,Tabelle212[[#This Row],[Entfernung (km) einfach]]&lt;2000),Tabelle212[[#This Row],[Entfernung (km) gesamt]], 0), 0)*Tabelle212[[#This Row],[Anzahl Studierende ]]</f>
        <v>0</v>
      </c>
      <c r="Q28" s="33">
        <f>IF(Tabelle212[[#This Row],[Verkehrsmittel]]="Flug", IF(AND(Tabelle212[[#This Row],[Entfernung (km) einfach]]&gt;2000,Tabelle212[[#This Row],[Entfernung (km) einfach]]&lt;5000),Tabelle212[[#This Row],[Entfernung (km) gesamt]], 0), 0)*Tabelle212[[#This Row],[Anzahl Studierende ]]</f>
        <v>0</v>
      </c>
      <c r="R28" s="33">
        <f>IF(Tabelle212[[#This Row],[Verkehrsmittel]]="Flug", IF(AND(Tabelle212[[#This Row],[Entfernung (km) einfach]]&gt;5000,Tabelle212[[#This Row],[Entfernung (km) einfach]]&lt;10000),Tabelle212[[#This Row],[Entfernung (km) gesamt]], 0), 0)*Tabelle212[[#This Row],[Anzahl Studierende ]]</f>
        <v>0</v>
      </c>
      <c r="S28" s="33">
        <f>IF(Tabelle212[[#This Row],[Verkehrsmittel]]="Flug", IF(AND(Tabelle212[[#This Row],[Entfernung (km) einfach]]&gt;10000),Tabelle212[[#This Row],[Entfernung (km) gesamt]]), 0)*Tabelle212[[#This Row],[Anzahl Studierende ]]</f>
        <v>0</v>
      </c>
      <c r="T28" s="33">
        <f>IF(Tabelle212[[#This Row],[Verkehrsmittel]]="Motorrad",Tabelle212[[#This Row],[Entfernung (km) gesamt]],0)*Tabelle212[[#This Row],[Anzahl Studierende ]]</f>
        <v>0</v>
      </c>
      <c r="U28" s="33">
        <f>IF(Tabelle212[[#This Row],[Verkehrsmittel]]="Straßen-, S-, U-Bahn",Tabelle212[[#This Row],[Entfernung (km) gesamt]],0)*Tabelle212[[#This Row],[Anzahl Studierende ]]</f>
        <v>0</v>
      </c>
      <c r="V28" s="33">
        <f>IF(Tabelle212[[#This Row],[Verkehrsmittel]]="Fahrrad",Tabelle212[[#This Row],[Entfernung (km) gesamt]],0)*Tabelle212[[#This Row],[Anzahl Studierende ]]</f>
        <v>0</v>
      </c>
    </row>
    <row r="29" spans="1:22" s="8" customFormat="1">
      <c r="B29" s="138"/>
      <c r="C29" s="139"/>
      <c r="D29" s="160"/>
      <c r="E29" s="111"/>
      <c r="F29" s="111"/>
      <c r="G29" s="111"/>
      <c r="H29" s="111">
        <f>Tabelle212[[#This Row],[Entfernung (km) einfach]]*2</f>
        <v>0</v>
      </c>
      <c r="I29" s="111"/>
      <c r="J29" s="140"/>
      <c r="K29" s="33">
        <f>IF(Tabelle212[[#This Row],[Verkehrsmittel]]="Bus",Tabelle212[[#This Row],[Entfernung (km) gesamt]],0)*Tabelle212[[#This Row],[Anzahl Studierende ]]</f>
        <v>0</v>
      </c>
      <c r="L29" s="33">
        <f>IF(Tabelle212[[#This Row],[Verkehrsmittel]]="Bahn",Tabelle212[[#This Row],[Anzahl Studierende ]]*Tabelle212[[#This Row],[Entfernung (km) gesamt]],0)</f>
        <v>0</v>
      </c>
      <c r="M29" s="33">
        <f>IF(Tabelle212[[#This Row],[Verkehrsmittel]]="PKW",Tabelle212[[#This Row],[Anzahl Studierende ]]*Tabelle212[[#This Row],[Entfernung (km) gesamt]],0)</f>
        <v>0</v>
      </c>
      <c r="N29" s="33">
        <f>IF(Tabelle212[[#This Row],[Verkehrsmittel]]="Flug", IF(AND(Tabelle212[[#This Row],[Entfernung (km) einfach]]&lt;500),Tabelle212[[#This Row],[Entfernung (km) gesamt]]), 0)*Tabelle212[[#This Row],[Anzahl Studierende ]]</f>
        <v>0</v>
      </c>
      <c r="O29" s="33">
        <f>IF(Tabelle212[[#This Row],[Verkehrsmittel]]="Flug", IF(AND(Tabelle212[[#This Row],[Entfernung (km) einfach]]&gt;500,Tabelle212[[#This Row],[Entfernung (km) einfach]]&lt;1000),Tabelle212[[#This Row],[Entfernung (km) gesamt]], 0), 0)*Tabelle212[[#This Row],[Anzahl Studierende ]]</f>
        <v>0</v>
      </c>
      <c r="P29" s="33">
        <f>IF(Tabelle212[[#This Row],[Verkehrsmittel]]="Flug", IF(AND(Tabelle212[[#This Row],[Entfernung (km) einfach]]&gt;1000,Tabelle212[[#This Row],[Entfernung (km) einfach]]&lt;2000),Tabelle212[[#This Row],[Entfernung (km) gesamt]], 0), 0)*Tabelle212[[#This Row],[Anzahl Studierende ]]</f>
        <v>0</v>
      </c>
      <c r="Q29" s="33">
        <f>IF(Tabelle212[[#This Row],[Verkehrsmittel]]="Flug", IF(AND(Tabelle212[[#This Row],[Entfernung (km) einfach]]&gt;2000,Tabelle212[[#This Row],[Entfernung (km) einfach]]&lt;5000),Tabelle212[[#This Row],[Entfernung (km) gesamt]], 0), 0)*Tabelle212[[#This Row],[Anzahl Studierende ]]</f>
        <v>0</v>
      </c>
      <c r="R29" s="33">
        <f>IF(Tabelle212[[#This Row],[Verkehrsmittel]]="Flug", IF(AND(Tabelle212[[#This Row],[Entfernung (km) einfach]]&gt;5000,Tabelle212[[#This Row],[Entfernung (km) einfach]]&lt;10000),Tabelle212[[#This Row],[Entfernung (km) gesamt]], 0), 0)*Tabelle212[[#This Row],[Anzahl Studierende ]]</f>
        <v>0</v>
      </c>
      <c r="S29" s="33">
        <f>IF(Tabelle212[[#This Row],[Verkehrsmittel]]="Flug", IF(AND(Tabelle212[[#This Row],[Entfernung (km) einfach]]&gt;10000),Tabelle212[[#This Row],[Entfernung (km) gesamt]]), 0)*Tabelle212[[#This Row],[Anzahl Studierende ]]</f>
        <v>0</v>
      </c>
      <c r="T29" s="33">
        <f>IF(Tabelle212[[#This Row],[Verkehrsmittel]]="Motorrad",Tabelle212[[#This Row],[Entfernung (km) gesamt]],0)*Tabelle212[[#This Row],[Anzahl Studierende ]]</f>
        <v>0</v>
      </c>
      <c r="U29" s="33">
        <f>IF(Tabelle212[[#This Row],[Verkehrsmittel]]="Straßen-, S-, U-Bahn",Tabelle212[[#This Row],[Entfernung (km) gesamt]],0)*Tabelle212[[#This Row],[Anzahl Studierende ]]</f>
        <v>0</v>
      </c>
      <c r="V29" s="33">
        <f>IF(Tabelle212[[#This Row],[Verkehrsmittel]]="Fahrrad",Tabelle212[[#This Row],[Entfernung (km) gesamt]],0)*Tabelle212[[#This Row],[Anzahl Studierende ]]</f>
        <v>0</v>
      </c>
    </row>
    <row r="30" spans="1:22" s="8" customFormat="1">
      <c r="B30" s="138"/>
      <c r="C30" s="139"/>
      <c r="D30" s="160"/>
      <c r="E30" s="111"/>
      <c r="F30" s="111"/>
      <c r="G30" s="111"/>
      <c r="H30" s="111">
        <f>Tabelle212[[#This Row],[Entfernung (km) einfach]]*2</f>
        <v>0</v>
      </c>
      <c r="I30" s="111"/>
      <c r="J30" s="140"/>
      <c r="K30" s="33">
        <f>IF(Tabelle212[[#This Row],[Verkehrsmittel]]="Bus",Tabelle212[[#This Row],[Entfernung (km) gesamt]],0)*Tabelle212[[#This Row],[Anzahl Studierende ]]</f>
        <v>0</v>
      </c>
      <c r="L30" s="33">
        <f>IF(Tabelle212[[#This Row],[Verkehrsmittel]]="Bahn",Tabelle212[[#This Row],[Anzahl Studierende ]]*Tabelle212[[#This Row],[Entfernung (km) gesamt]],0)</f>
        <v>0</v>
      </c>
      <c r="M30" s="33">
        <f>IF(Tabelle212[[#This Row],[Verkehrsmittel]]="PKW",Tabelle212[[#This Row],[Anzahl Studierende ]]*Tabelle212[[#This Row],[Entfernung (km) gesamt]],0)</f>
        <v>0</v>
      </c>
      <c r="N30" s="33">
        <f>IF(Tabelle212[[#This Row],[Verkehrsmittel]]="Flug", IF(AND(Tabelle212[[#This Row],[Entfernung (km) einfach]]&lt;500),Tabelle212[[#This Row],[Entfernung (km) gesamt]]), 0)*Tabelle212[[#This Row],[Anzahl Studierende ]]</f>
        <v>0</v>
      </c>
      <c r="O30" s="33">
        <f>IF(Tabelle212[[#This Row],[Verkehrsmittel]]="Flug", IF(AND(Tabelle212[[#This Row],[Entfernung (km) einfach]]&gt;500,Tabelle212[[#This Row],[Entfernung (km) einfach]]&lt;1000),Tabelle212[[#This Row],[Entfernung (km) gesamt]], 0), 0)*Tabelle212[[#This Row],[Anzahl Studierende ]]</f>
        <v>0</v>
      </c>
      <c r="P30" s="33">
        <f>IF(Tabelle212[[#This Row],[Verkehrsmittel]]="Flug", IF(AND(Tabelle212[[#This Row],[Entfernung (km) einfach]]&gt;1000,Tabelle212[[#This Row],[Entfernung (km) einfach]]&lt;2000),Tabelle212[[#This Row],[Entfernung (km) gesamt]], 0), 0)*Tabelle212[[#This Row],[Anzahl Studierende ]]</f>
        <v>0</v>
      </c>
      <c r="Q30" s="33">
        <f>IF(Tabelle212[[#This Row],[Verkehrsmittel]]="Flug", IF(AND(Tabelle212[[#This Row],[Entfernung (km) einfach]]&gt;2000,Tabelle212[[#This Row],[Entfernung (km) einfach]]&lt;5000),Tabelle212[[#This Row],[Entfernung (km) gesamt]], 0), 0)*Tabelle212[[#This Row],[Anzahl Studierende ]]</f>
        <v>0</v>
      </c>
      <c r="R30" s="33">
        <f>IF(Tabelle212[[#This Row],[Verkehrsmittel]]="Flug", IF(AND(Tabelle212[[#This Row],[Entfernung (km) einfach]]&gt;5000,Tabelle212[[#This Row],[Entfernung (km) einfach]]&lt;10000),Tabelle212[[#This Row],[Entfernung (km) gesamt]], 0), 0)*Tabelle212[[#This Row],[Anzahl Studierende ]]</f>
        <v>0</v>
      </c>
      <c r="S30" s="33">
        <f>IF(Tabelle212[[#This Row],[Verkehrsmittel]]="Flug", IF(AND(Tabelle212[[#This Row],[Entfernung (km) einfach]]&gt;10000),Tabelle212[[#This Row],[Entfernung (km) gesamt]]), 0)*Tabelle212[[#This Row],[Anzahl Studierende ]]</f>
        <v>0</v>
      </c>
      <c r="T30" s="33">
        <f>IF(Tabelle212[[#This Row],[Verkehrsmittel]]="Motorrad",Tabelle212[[#This Row],[Entfernung (km) gesamt]],0)*Tabelle212[[#This Row],[Anzahl Studierende ]]</f>
        <v>0</v>
      </c>
      <c r="U30" s="33">
        <f>IF(Tabelle212[[#This Row],[Verkehrsmittel]]="Straßen-, S-, U-Bahn",Tabelle212[[#This Row],[Entfernung (km) gesamt]],0)*Tabelle212[[#This Row],[Anzahl Studierende ]]</f>
        <v>0</v>
      </c>
      <c r="V30" s="33">
        <f>IF(Tabelle212[[#This Row],[Verkehrsmittel]]="Fahrrad",Tabelle212[[#This Row],[Entfernung (km) gesamt]],0)*Tabelle212[[#This Row],[Anzahl Studierende ]]</f>
        <v>0</v>
      </c>
    </row>
    <row r="31" spans="1:22" s="8" customFormat="1">
      <c r="B31" s="138"/>
      <c r="C31" s="139"/>
      <c r="D31" s="160"/>
      <c r="E31" s="111"/>
      <c r="F31" s="111"/>
      <c r="G31" s="111"/>
      <c r="H31" s="111">
        <f>Tabelle212[[#This Row],[Entfernung (km) einfach]]*2</f>
        <v>0</v>
      </c>
      <c r="I31" s="111"/>
      <c r="J31" s="140"/>
      <c r="K31" s="33">
        <f>IF(Tabelle212[[#This Row],[Verkehrsmittel]]="Bus",Tabelle212[[#This Row],[Entfernung (km) gesamt]],0)*Tabelle212[[#This Row],[Anzahl Studierende ]]</f>
        <v>0</v>
      </c>
      <c r="L31" s="33">
        <f>IF(Tabelle212[[#This Row],[Verkehrsmittel]]="Bahn",Tabelle212[[#This Row],[Anzahl Studierende ]]*Tabelle212[[#This Row],[Entfernung (km) gesamt]],0)</f>
        <v>0</v>
      </c>
      <c r="M31" s="33">
        <f>IF(Tabelle212[[#This Row],[Verkehrsmittel]]="PKW",Tabelle212[[#This Row],[Anzahl Studierende ]]*Tabelle212[[#This Row],[Entfernung (km) gesamt]],0)</f>
        <v>0</v>
      </c>
      <c r="N31" s="33">
        <f>IF(Tabelle212[[#This Row],[Verkehrsmittel]]="Flug", IF(AND(Tabelle212[[#This Row],[Entfernung (km) einfach]]&lt;500),Tabelle212[[#This Row],[Entfernung (km) gesamt]]), 0)*Tabelle212[[#This Row],[Anzahl Studierende ]]</f>
        <v>0</v>
      </c>
      <c r="O31" s="33">
        <f>IF(Tabelle212[[#This Row],[Verkehrsmittel]]="Flug", IF(AND(Tabelle212[[#This Row],[Entfernung (km) einfach]]&gt;500,Tabelle212[[#This Row],[Entfernung (km) einfach]]&lt;1000),Tabelle212[[#This Row],[Entfernung (km) gesamt]], 0), 0)*Tabelle212[[#This Row],[Anzahl Studierende ]]</f>
        <v>0</v>
      </c>
      <c r="P31" s="33">
        <f>IF(Tabelle212[[#This Row],[Verkehrsmittel]]="Flug", IF(AND(Tabelle212[[#This Row],[Entfernung (km) einfach]]&gt;1000,Tabelle212[[#This Row],[Entfernung (km) einfach]]&lt;2000),Tabelle212[[#This Row],[Entfernung (km) gesamt]], 0), 0)*Tabelle212[[#This Row],[Anzahl Studierende ]]</f>
        <v>0</v>
      </c>
      <c r="Q31" s="33">
        <f>IF(Tabelle212[[#This Row],[Verkehrsmittel]]="Flug", IF(AND(Tabelle212[[#This Row],[Entfernung (km) einfach]]&gt;2000,Tabelle212[[#This Row],[Entfernung (km) einfach]]&lt;5000),Tabelle212[[#This Row],[Entfernung (km) gesamt]], 0), 0)*Tabelle212[[#This Row],[Anzahl Studierende ]]</f>
        <v>0</v>
      </c>
      <c r="R31" s="33">
        <f>IF(Tabelle212[[#This Row],[Verkehrsmittel]]="Flug", IF(AND(Tabelle212[[#This Row],[Entfernung (km) einfach]]&gt;5000,Tabelle212[[#This Row],[Entfernung (km) einfach]]&lt;10000),Tabelle212[[#This Row],[Entfernung (km) gesamt]], 0), 0)*Tabelle212[[#This Row],[Anzahl Studierende ]]</f>
        <v>0</v>
      </c>
      <c r="S31" s="33">
        <f>IF(Tabelle212[[#This Row],[Verkehrsmittel]]="Flug", IF(AND(Tabelle212[[#This Row],[Entfernung (km) einfach]]&gt;10000),Tabelle212[[#This Row],[Entfernung (km) gesamt]]), 0)*Tabelle212[[#This Row],[Anzahl Studierende ]]</f>
        <v>0</v>
      </c>
      <c r="T31" s="33">
        <f>IF(Tabelle212[[#This Row],[Verkehrsmittel]]="Motorrad",Tabelle212[[#This Row],[Entfernung (km) gesamt]],0)*Tabelle212[[#This Row],[Anzahl Studierende ]]</f>
        <v>0</v>
      </c>
      <c r="U31" s="33">
        <f>IF(Tabelle212[[#This Row],[Verkehrsmittel]]="Straßen-, S-, U-Bahn",Tabelle212[[#This Row],[Entfernung (km) gesamt]],0)*Tabelle212[[#This Row],[Anzahl Studierende ]]</f>
        <v>0</v>
      </c>
      <c r="V31" s="33">
        <f>IF(Tabelle212[[#This Row],[Verkehrsmittel]]="Fahrrad",Tabelle212[[#This Row],[Entfernung (km) gesamt]],0)*Tabelle212[[#This Row],[Anzahl Studierende ]]</f>
        <v>0</v>
      </c>
    </row>
    <row r="32" spans="1:22" s="8" customFormat="1">
      <c r="B32" s="138"/>
      <c r="C32" s="139"/>
      <c r="D32" s="160"/>
      <c r="E32" s="111"/>
      <c r="F32" s="111"/>
      <c r="G32" s="111"/>
      <c r="H32" s="117">
        <f>Tabelle212[[#This Row],[Entfernung (km) einfach]]*2</f>
        <v>0</v>
      </c>
      <c r="I32" s="111"/>
      <c r="J32" s="140"/>
      <c r="K32" s="33">
        <f>IF(Tabelle212[[#This Row],[Verkehrsmittel]]="Bus",Tabelle212[[#This Row],[Entfernung (km) gesamt]],0)*Tabelle212[[#This Row],[Anzahl Studierende ]]</f>
        <v>0</v>
      </c>
      <c r="L32" s="33">
        <f>IF(Tabelle212[[#This Row],[Verkehrsmittel]]="Bahn",Tabelle212[[#This Row],[Anzahl Studierende ]]*Tabelle212[[#This Row],[Entfernung (km) gesamt]],0)</f>
        <v>0</v>
      </c>
      <c r="M32" s="33">
        <f>IF(Tabelle212[[#This Row],[Verkehrsmittel]]="PKW",Tabelle212[[#This Row],[Anzahl Studierende ]]*Tabelle212[[#This Row],[Entfernung (km) gesamt]],0)</f>
        <v>0</v>
      </c>
      <c r="N32" s="33">
        <f>IF(Tabelle212[[#This Row],[Verkehrsmittel]]="Flug", IF(AND(Tabelle212[[#This Row],[Entfernung (km) einfach]]&lt;500),Tabelle212[[#This Row],[Entfernung (km) gesamt]]), 0)*Tabelle212[[#This Row],[Anzahl Studierende ]]</f>
        <v>0</v>
      </c>
      <c r="O32" s="33">
        <f>IF(Tabelle212[[#This Row],[Verkehrsmittel]]="Flug", IF(AND(Tabelle212[[#This Row],[Entfernung (km) einfach]]&gt;500,Tabelle212[[#This Row],[Entfernung (km) einfach]]&lt;1000),Tabelle212[[#This Row],[Entfernung (km) gesamt]], 0), 0)*Tabelle212[[#This Row],[Anzahl Studierende ]]</f>
        <v>0</v>
      </c>
      <c r="P32" s="33">
        <f>IF(Tabelle212[[#This Row],[Verkehrsmittel]]="Flug", IF(AND(Tabelle212[[#This Row],[Entfernung (km) einfach]]&gt;1000,Tabelle212[[#This Row],[Entfernung (km) einfach]]&lt;2000),Tabelle212[[#This Row],[Entfernung (km) gesamt]], 0), 0)*Tabelle212[[#This Row],[Anzahl Studierende ]]</f>
        <v>0</v>
      </c>
      <c r="Q32" s="33">
        <f>IF(Tabelle212[[#This Row],[Verkehrsmittel]]="Flug", IF(AND(Tabelle212[[#This Row],[Entfernung (km) einfach]]&gt;2000,Tabelle212[[#This Row],[Entfernung (km) einfach]]&lt;5000),Tabelle212[[#This Row],[Entfernung (km) gesamt]], 0), 0)*Tabelle212[[#This Row],[Anzahl Studierende ]]</f>
        <v>0</v>
      </c>
      <c r="R32" s="33">
        <f>IF(Tabelle212[[#This Row],[Verkehrsmittel]]="Flug", IF(AND(Tabelle212[[#This Row],[Entfernung (km) einfach]]&gt;5000,Tabelle212[[#This Row],[Entfernung (km) einfach]]&lt;10000),Tabelle212[[#This Row],[Entfernung (km) gesamt]], 0), 0)*Tabelle212[[#This Row],[Anzahl Studierende ]]</f>
        <v>0</v>
      </c>
      <c r="S32" s="33">
        <f>IF(Tabelle212[[#This Row],[Verkehrsmittel]]="Flug", IF(AND(Tabelle212[[#This Row],[Entfernung (km) einfach]]&gt;10000),Tabelle212[[#This Row],[Entfernung (km) gesamt]]), 0)*Tabelle212[[#This Row],[Anzahl Studierende ]]</f>
        <v>0</v>
      </c>
      <c r="T32" s="33">
        <f>IF(Tabelle212[[#This Row],[Verkehrsmittel]]="Motorrad",Tabelle212[[#This Row],[Entfernung (km) gesamt]],0)*Tabelle212[[#This Row],[Anzahl Studierende ]]</f>
        <v>0</v>
      </c>
      <c r="U32" s="33">
        <f>IF(Tabelle212[[#This Row],[Verkehrsmittel]]="Straßen-, S-, U-Bahn",Tabelle212[[#This Row],[Entfernung (km) gesamt]],0)*Tabelle212[[#This Row],[Anzahl Studierende ]]</f>
        <v>0</v>
      </c>
      <c r="V32" s="33">
        <f>IF(Tabelle212[[#This Row],[Verkehrsmittel]]="Fahrrad",Tabelle212[[#This Row],[Entfernung (km) gesamt]],0)*Tabelle212[[#This Row],[Anzahl Studierende ]]</f>
        <v>0</v>
      </c>
    </row>
    <row r="33" spans="2:22" s="8" customFormat="1">
      <c r="B33" s="138"/>
      <c r="C33" s="139"/>
      <c r="D33" s="160"/>
      <c r="E33" s="111"/>
      <c r="F33" s="111"/>
      <c r="G33" s="111"/>
      <c r="H33" s="117">
        <f>Tabelle212[[#This Row],[Entfernung (km) einfach]]*2</f>
        <v>0</v>
      </c>
      <c r="I33" s="111"/>
      <c r="J33" s="140"/>
      <c r="K33" s="33">
        <f>IF(Tabelle212[[#This Row],[Verkehrsmittel]]="Bus",Tabelle212[[#This Row],[Entfernung (km) gesamt]],0)*Tabelle212[[#This Row],[Anzahl Studierende ]]</f>
        <v>0</v>
      </c>
      <c r="L33" s="33">
        <f>IF(Tabelle212[[#This Row],[Verkehrsmittel]]="Bahn",Tabelle212[[#This Row],[Anzahl Studierende ]]*Tabelle212[[#This Row],[Entfernung (km) gesamt]],0)</f>
        <v>0</v>
      </c>
      <c r="M33" s="33">
        <f>IF(Tabelle212[[#This Row],[Verkehrsmittel]]="PKW",Tabelle212[[#This Row],[Anzahl Studierende ]]*Tabelle212[[#This Row],[Entfernung (km) gesamt]],0)</f>
        <v>0</v>
      </c>
      <c r="N33" s="33">
        <f>IF(Tabelle212[[#This Row],[Verkehrsmittel]]="Flug", IF(AND(Tabelle212[[#This Row],[Entfernung (km) einfach]]&lt;500),Tabelle212[[#This Row],[Entfernung (km) gesamt]]), 0)*Tabelle212[[#This Row],[Anzahl Studierende ]]</f>
        <v>0</v>
      </c>
      <c r="O33" s="33">
        <f>IF(Tabelle212[[#This Row],[Verkehrsmittel]]="Flug", IF(AND(Tabelle212[[#This Row],[Entfernung (km) einfach]]&gt;500,Tabelle212[[#This Row],[Entfernung (km) einfach]]&lt;1000),Tabelle212[[#This Row],[Entfernung (km) gesamt]], 0), 0)*Tabelle212[[#This Row],[Anzahl Studierende ]]</f>
        <v>0</v>
      </c>
      <c r="P33" s="33">
        <f>IF(Tabelle212[[#This Row],[Verkehrsmittel]]="Flug", IF(AND(Tabelle212[[#This Row],[Entfernung (km) einfach]]&gt;1000,Tabelle212[[#This Row],[Entfernung (km) einfach]]&lt;2000),Tabelle212[[#This Row],[Entfernung (km) gesamt]], 0), 0)*Tabelle212[[#This Row],[Anzahl Studierende ]]</f>
        <v>0</v>
      </c>
      <c r="Q33" s="33">
        <f>IF(Tabelle212[[#This Row],[Verkehrsmittel]]="Flug", IF(AND(Tabelle212[[#This Row],[Entfernung (km) einfach]]&gt;2000,Tabelle212[[#This Row],[Entfernung (km) einfach]]&lt;5000),Tabelle212[[#This Row],[Entfernung (km) gesamt]], 0), 0)*Tabelle212[[#This Row],[Anzahl Studierende ]]</f>
        <v>0</v>
      </c>
      <c r="R33" s="33">
        <f>IF(Tabelle212[[#This Row],[Verkehrsmittel]]="Flug", IF(AND(Tabelle212[[#This Row],[Entfernung (km) einfach]]&gt;5000,Tabelle212[[#This Row],[Entfernung (km) einfach]]&lt;10000),Tabelle212[[#This Row],[Entfernung (km) gesamt]], 0), 0)*Tabelle212[[#This Row],[Anzahl Studierende ]]</f>
        <v>0</v>
      </c>
      <c r="S33" s="33">
        <f>IF(Tabelle212[[#This Row],[Verkehrsmittel]]="Flug", IF(AND(Tabelle212[[#This Row],[Entfernung (km) einfach]]&gt;10000),Tabelle212[[#This Row],[Entfernung (km) gesamt]]), 0)*Tabelle212[[#This Row],[Anzahl Studierende ]]</f>
        <v>0</v>
      </c>
      <c r="T33" s="33">
        <f>IF(Tabelle212[[#This Row],[Verkehrsmittel]]="Motorrad",Tabelle212[[#This Row],[Entfernung (km) gesamt]],0)*Tabelle212[[#This Row],[Anzahl Studierende ]]</f>
        <v>0</v>
      </c>
      <c r="U33" s="33">
        <f>IF(Tabelle212[[#This Row],[Verkehrsmittel]]="Straßen-, S-, U-Bahn",Tabelle212[[#This Row],[Entfernung (km) gesamt]],0)*Tabelle212[[#This Row],[Anzahl Studierende ]]</f>
        <v>0</v>
      </c>
      <c r="V33" s="33">
        <f>IF(Tabelle212[[#This Row],[Verkehrsmittel]]="Fahrrad",Tabelle212[[#This Row],[Entfernung (km) gesamt]],0)*Tabelle212[[#This Row],[Anzahl Studierende ]]</f>
        <v>0</v>
      </c>
    </row>
    <row r="34" spans="2:22" s="8" customFormat="1">
      <c r="B34" s="138"/>
      <c r="C34" s="139"/>
      <c r="D34" s="160"/>
      <c r="E34" s="111"/>
      <c r="F34" s="111"/>
      <c r="G34" s="111"/>
      <c r="H34" s="117">
        <f>Tabelle212[[#This Row],[Entfernung (km) einfach]]*2</f>
        <v>0</v>
      </c>
      <c r="I34" s="111"/>
      <c r="J34" s="140"/>
      <c r="K34" s="33">
        <f>IF(Tabelle212[[#This Row],[Verkehrsmittel]]="Bus",Tabelle212[[#This Row],[Entfernung (km) gesamt]],0)*Tabelle212[[#This Row],[Anzahl Studierende ]]</f>
        <v>0</v>
      </c>
      <c r="L34" s="33">
        <f>IF(Tabelle212[[#This Row],[Verkehrsmittel]]="Bahn",Tabelle212[[#This Row],[Anzahl Studierende ]]*Tabelle212[[#This Row],[Entfernung (km) gesamt]],0)</f>
        <v>0</v>
      </c>
      <c r="M34" s="33">
        <f>IF(Tabelle212[[#This Row],[Verkehrsmittel]]="PKW",Tabelle212[[#This Row],[Anzahl Studierende ]]*Tabelle212[[#This Row],[Entfernung (km) gesamt]],0)</f>
        <v>0</v>
      </c>
      <c r="N34" s="33">
        <f>IF(Tabelle212[[#This Row],[Verkehrsmittel]]="Flug", IF(AND(Tabelle212[[#This Row],[Entfernung (km) einfach]]&lt;500),Tabelle212[[#This Row],[Entfernung (km) gesamt]]), 0)*Tabelle212[[#This Row],[Anzahl Studierende ]]</f>
        <v>0</v>
      </c>
      <c r="O34" s="33">
        <f>IF(Tabelle212[[#This Row],[Verkehrsmittel]]="Flug", IF(AND(Tabelle212[[#This Row],[Entfernung (km) einfach]]&gt;500,Tabelle212[[#This Row],[Entfernung (km) einfach]]&lt;1000),Tabelle212[[#This Row],[Entfernung (km) gesamt]], 0), 0)*Tabelle212[[#This Row],[Anzahl Studierende ]]</f>
        <v>0</v>
      </c>
      <c r="P34" s="33">
        <f>IF(Tabelle212[[#This Row],[Verkehrsmittel]]="Flug", IF(AND(Tabelle212[[#This Row],[Entfernung (km) einfach]]&gt;1000,Tabelle212[[#This Row],[Entfernung (km) einfach]]&lt;2000),Tabelle212[[#This Row],[Entfernung (km) gesamt]], 0), 0)*Tabelle212[[#This Row],[Anzahl Studierende ]]</f>
        <v>0</v>
      </c>
      <c r="Q34" s="33">
        <f>IF(Tabelle212[[#This Row],[Verkehrsmittel]]="Flug", IF(AND(Tabelle212[[#This Row],[Entfernung (km) einfach]]&gt;2000,Tabelle212[[#This Row],[Entfernung (km) einfach]]&lt;5000),Tabelle212[[#This Row],[Entfernung (km) gesamt]], 0), 0)*Tabelle212[[#This Row],[Anzahl Studierende ]]</f>
        <v>0</v>
      </c>
      <c r="R34" s="33">
        <f>IF(Tabelle212[[#This Row],[Verkehrsmittel]]="Flug", IF(AND(Tabelle212[[#This Row],[Entfernung (km) einfach]]&gt;5000,Tabelle212[[#This Row],[Entfernung (km) einfach]]&lt;10000),Tabelle212[[#This Row],[Entfernung (km) gesamt]], 0), 0)*Tabelle212[[#This Row],[Anzahl Studierende ]]</f>
        <v>0</v>
      </c>
      <c r="S34" s="33">
        <f>IF(Tabelle212[[#This Row],[Verkehrsmittel]]="Flug", IF(AND(Tabelle212[[#This Row],[Entfernung (km) einfach]]&gt;10000),Tabelle212[[#This Row],[Entfernung (km) gesamt]]), 0)*Tabelle212[[#This Row],[Anzahl Studierende ]]</f>
        <v>0</v>
      </c>
      <c r="T34" s="33">
        <f>IF(Tabelle212[[#This Row],[Verkehrsmittel]]="Motorrad",Tabelle212[[#This Row],[Entfernung (km) gesamt]],0)*Tabelle212[[#This Row],[Anzahl Studierende ]]</f>
        <v>0</v>
      </c>
      <c r="U34" s="33">
        <f>IF(Tabelle212[[#This Row],[Verkehrsmittel]]="Straßen-, S-, U-Bahn",Tabelle212[[#This Row],[Entfernung (km) gesamt]],0)*Tabelle212[[#This Row],[Anzahl Studierende ]]</f>
        <v>0</v>
      </c>
      <c r="V34" s="33">
        <f>IF(Tabelle212[[#This Row],[Verkehrsmittel]]="Fahrrad",Tabelle212[[#This Row],[Entfernung (km) gesamt]],0)*Tabelle212[[#This Row],[Anzahl Studierende ]]</f>
        <v>0</v>
      </c>
    </row>
    <row r="35" spans="2:22" s="8" customFormat="1">
      <c r="B35" s="138"/>
      <c r="C35" s="139"/>
      <c r="D35" s="160"/>
      <c r="E35" s="111"/>
      <c r="F35" s="111"/>
      <c r="G35" s="111"/>
      <c r="H35" s="117">
        <f>Tabelle212[[#This Row],[Entfernung (km) einfach]]*2</f>
        <v>0</v>
      </c>
      <c r="I35" s="111"/>
      <c r="J35" s="140"/>
      <c r="K35" s="33">
        <f>IF(Tabelle212[[#This Row],[Verkehrsmittel]]="Bus",Tabelle212[[#This Row],[Entfernung (km) gesamt]],0)*Tabelle212[[#This Row],[Anzahl Studierende ]]</f>
        <v>0</v>
      </c>
      <c r="L35" s="33">
        <f>IF(Tabelle212[[#This Row],[Verkehrsmittel]]="Bahn",Tabelle212[[#This Row],[Anzahl Studierende ]]*Tabelle212[[#This Row],[Entfernung (km) gesamt]],0)</f>
        <v>0</v>
      </c>
      <c r="M35" s="33">
        <f>IF(Tabelle212[[#This Row],[Verkehrsmittel]]="PKW",Tabelle212[[#This Row],[Anzahl Studierende ]]*Tabelle212[[#This Row],[Entfernung (km) gesamt]],0)</f>
        <v>0</v>
      </c>
      <c r="N35" s="33">
        <f>IF(Tabelle212[[#This Row],[Verkehrsmittel]]="Flug", IF(AND(Tabelle212[[#This Row],[Entfernung (km) einfach]]&lt;500),Tabelle212[[#This Row],[Entfernung (km) gesamt]]), 0)*Tabelle212[[#This Row],[Anzahl Studierende ]]</f>
        <v>0</v>
      </c>
      <c r="O35" s="33">
        <f>IF(Tabelle212[[#This Row],[Verkehrsmittel]]="Flug", IF(AND(Tabelle212[[#This Row],[Entfernung (km) einfach]]&gt;500,Tabelle212[[#This Row],[Entfernung (km) einfach]]&lt;1000),Tabelle212[[#This Row],[Entfernung (km) gesamt]], 0), 0)*Tabelle212[[#This Row],[Anzahl Studierende ]]</f>
        <v>0</v>
      </c>
      <c r="P35" s="33">
        <f>IF(Tabelle212[[#This Row],[Verkehrsmittel]]="Flug", IF(AND(Tabelle212[[#This Row],[Entfernung (km) einfach]]&gt;1000,Tabelle212[[#This Row],[Entfernung (km) einfach]]&lt;2000),Tabelle212[[#This Row],[Entfernung (km) gesamt]], 0), 0)*Tabelle212[[#This Row],[Anzahl Studierende ]]</f>
        <v>0</v>
      </c>
      <c r="Q35" s="33">
        <f>IF(Tabelle212[[#This Row],[Verkehrsmittel]]="Flug", IF(AND(Tabelle212[[#This Row],[Entfernung (km) einfach]]&gt;2000,Tabelle212[[#This Row],[Entfernung (km) einfach]]&lt;5000),Tabelle212[[#This Row],[Entfernung (km) gesamt]], 0), 0)*Tabelle212[[#This Row],[Anzahl Studierende ]]</f>
        <v>0</v>
      </c>
      <c r="R35" s="33">
        <f>IF(Tabelle212[[#This Row],[Verkehrsmittel]]="Flug", IF(AND(Tabelle212[[#This Row],[Entfernung (km) einfach]]&gt;5000,Tabelle212[[#This Row],[Entfernung (km) einfach]]&lt;10000),Tabelle212[[#This Row],[Entfernung (km) gesamt]], 0), 0)*Tabelle212[[#This Row],[Anzahl Studierende ]]</f>
        <v>0</v>
      </c>
      <c r="S35" s="33">
        <f>IF(Tabelle212[[#This Row],[Verkehrsmittel]]="Flug", IF(AND(Tabelle212[[#This Row],[Entfernung (km) einfach]]&gt;10000),Tabelle212[[#This Row],[Entfernung (km) gesamt]]), 0)*Tabelle212[[#This Row],[Anzahl Studierende ]]</f>
        <v>0</v>
      </c>
      <c r="T35" s="33">
        <f>IF(Tabelle212[[#This Row],[Verkehrsmittel]]="Motorrad",Tabelle212[[#This Row],[Entfernung (km) gesamt]],0)*Tabelle212[[#This Row],[Anzahl Studierende ]]</f>
        <v>0</v>
      </c>
      <c r="U35" s="33">
        <f>IF(Tabelle212[[#This Row],[Verkehrsmittel]]="Straßen-, S-, U-Bahn",Tabelle212[[#This Row],[Entfernung (km) gesamt]],0)*Tabelle212[[#This Row],[Anzahl Studierende ]]</f>
        <v>0</v>
      </c>
      <c r="V35" s="33">
        <f>IF(Tabelle212[[#This Row],[Verkehrsmittel]]="Fahrrad",Tabelle212[[#This Row],[Entfernung (km) gesamt]],0)*Tabelle212[[#This Row],[Anzahl Studierende ]]</f>
        <v>0</v>
      </c>
    </row>
    <row r="36" spans="2:22" s="8" customFormat="1">
      <c r="B36" s="138"/>
      <c r="C36" s="139"/>
      <c r="D36" s="160"/>
      <c r="E36" s="111"/>
      <c r="F36" s="111"/>
      <c r="G36" s="111"/>
      <c r="H36" s="117">
        <f>Tabelle212[[#This Row],[Entfernung (km) einfach]]*2</f>
        <v>0</v>
      </c>
      <c r="I36" s="111"/>
      <c r="J36" s="140"/>
      <c r="K36" s="33">
        <f>IF(Tabelle212[[#This Row],[Verkehrsmittel]]="Bus",Tabelle212[[#This Row],[Entfernung (km) gesamt]],0)*Tabelle212[[#This Row],[Anzahl Studierende ]]</f>
        <v>0</v>
      </c>
      <c r="L36" s="33">
        <f>IF(Tabelle212[[#This Row],[Verkehrsmittel]]="Bahn",Tabelle212[[#This Row],[Anzahl Studierende ]]*Tabelle212[[#This Row],[Entfernung (km) gesamt]],0)</f>
        <v>0</v>
      </c>
      <c r="M36" s="33">
        <f>IF(Tabelle212[[#This Row],[Verkehrsmittel]]="PKW",Tabelle212[[#This Row],[Anzahl Studierende ]]*Tabelle212[[#This Row],[Entfernung (km) gesamt]],0)</f>
        <v>0</v>
      </c>
      <c r="N36" s="33">
        <f>IF(Tabelle212[[#This Row],[Verkehrsmittel]]="Flug", IF(AND(Tabelle212[[#This Row],[Entfernung (km) einfach]]&lt;500),Tabelle212[[#This Row],[Entfernung (km) gesamt]]), 0)*Tabelle212[[#This Row],[Anzahl Studierende ]]</f>
        <v>0</v>
      </c>
      <c r="O36" s="33">
        <f>IF(Tabelle212[[#This Row],[Verkehrsmittel]]="Flug", IF(AND(Tabelle212[[#This Row],[Entfernung (km) einfach]]&gt;500,Tabelle212[[#This Row],[Entfernung (km) einfach]]&lt;1000),Tabelle212[[#This Row],[Entfernung (km) gesamt]], 0), 0)*Tabelle212[[#This Row],[Anzahl Studierende ]]</f>
        <v>0</v>
      </c>
      <c r="P36" s="33">
        <f>IF(Tabelle212[[#This Row],[Verkehrsmittel]]="Flug", IF(AND(Tabelle212[[#This Row],[Entfernung (km) einfach]]&gt;1000,Tabelle212[[#This Row],[Entfernung (km) einfach]]&lt;2000),Tabelle212[[#This Row],[Entfernung (km) gesamt]], 0), 0)*Tabelle212[[#This Row],[Anzahl Studierende ]]</f>
        <v>0</v>
      </c>
      <c r="Q36" s="33">
        <f>IF(Tabelle212[[#This Row],[Verkehrsmittel]]="Flug", IF(AND(Tabelle212[[#This Row],[Entfernung (km) einfach]]&gt;2000,Tabelle212[[#This Row],[Entfernung (km) einfach]]&lt;5000),Tabelle212[[#This Row],[Entfernung (km) gesamt]], 0), 0)*Tabelle212[[#This Row],[Anzahl Studierende ]]</f>
        <v>0</v>
      </c>
      <c r="R36" s="33">
        <f>IF(Tabelle212[[#This Row],[Verkehrsmittel]]="Flug", IF(AND(Tabelle212[[#This Row],[Entfernung (km) einfach]]&gt;5000,Tabelle212[[#This Row],[Entfernung (km) einfach]]&lt;10000),Tabelle212[[#This Row],[Entfernung (km) gesamt]], 0), 0)*Tabelle212[[#This Row],[Anzahl Studierende ]]</f>
        <v>0</v>
      </c>
      <c r="S36" s="33">
        <f>IF(Tabelle212[[#This Row],[Verkehrsmittel]]="Flug", IF(AND(Tabelle212[[#This Row],[Entfernung (km) einfach]]&gt;10000),Tabelle212[[#This Row],[Entfernung (km) gesamt]]), 0)*Tabelle212[[#This Row],[Anzahl Studierende ]]</f>
        <v>0</v>
      </c>
      <c r="T36" s="33">
        <f>IF(Tabelle212[[#This Row],[Verkehrsmittel]]="Motorrad",Tabelle212[[#This Row],[Entfernung (km) gesamt]],0)*Tabelle212[[#This Row],[Anzahl Studierende ]]</f>
        <v>0</v>
      </c>
      <c r="U36" s="33">
        <f>IF(Tabelle212[[#This Row],[Verkehrsmittel]]="Straßen-, S-, U-Bahn",Tabelle212[[#This Row],[Entfernung (km) gesamt]],0)*Tabelle212[[#This Row],[Anzahl Studierende ]]</f>
        <v>0</v>
      </c>
      <c r="V36" s="33">
        <f>IF(Tabelle212[[#This Row],[Verkehrsmittel]]="Fahrrad",Tabelle212[[#This Row],[Entfernung (km) gesamt]],0)*Tabelle212[[#This Row],[Anzahl Studierende ]]</f>
        <v>0</v>
      </c>
    </row>
    <row r="37" spans="2:22" s="8" customFormat="1">
      <c r="B37" s="138"/>
      <c r="C37" s="139"/>
      <c r="D37" s="160"/>
      <c r="E37" s="111"/>
      <c r="F37" s="111"/>
      <c r="G37" s="111"/>
      <c r="H37" s="117">
        <f>Tabelle212[[#This Row],[Entfernung (km) einfach]]*2</f>
        <v>0</v>
      </c>
      <c r="I37" s="111"/>
      <c r="J37" s="140"/>
      <c r="K37" s="33">
        <f>IF(Tabelle212[[#This Row],[Verkehrsmittel]]="Bus",Tabelle212[[#This Row],[Entfernung (km) gesamt]],0)*Tabelle212[[#This Row],[Anzahl Studierende ]]</f>
        <v>0</v>
      </c>
      <c r="L37" s="33">
        <f>IF(Tabelle212[[#This Row],[Verkehrsmittel]]="Bahn",Tabelle212[[#This Row],[Anzahl Studierende ]]*Tabelle212[[#This Row],[Entfernung (km) gesamt]],0)</f>
        <v>0</v>
      </c>
      <c r="M37" s="33">
        <f>IF(Tabelle212[[#This Row],[Verkehrsmittel]]="PKW",Tabelle212[[#This Row],[Anzahl Studierende ]]*Tabelle212[[#This Row],[Entfernung (km) gesamt]],0)</f>
        <v>0</v>
      </c>
      <c r="N37" s="33">
        <f>IF(Tabelle212[[#This Row],[Verkehrsmittel]]="Flug", IF(AND(Tabelle212[[#This Row],[Entfernung (km) einfach]]&lt;500),Tabelle212[[#This Row],[Entfernung (km) gesamt]]), 0)*Tabelle212[[#This Row],[Anzahl Studierende ]]</f>
        <v>0</v>
      </c>
      <c r="O37" s="33">
        <f>IF(Tabelle212[[#This Row],[Verkehrsmittel]]="Flug", IF(AND(Tabelle212[[#This Row],[Entfernung (km) einfach]]&gt;500,Tabelle212[[#This Row],[Entfernung (km) einfach]]&lt;1000),Tabelle212[[#This Row],[Entfernung (km) gesamt]], 0), 0)*Tabelle212[[#This Row],[Anzahl Studierende ]]</f>
        <v>0</v>
      </c>
      <c r="P37" s="33">
        <f>IF(Tabelle212[[#This Row],[Verkehrsmittel]]="Flug", IF(AND(Tabelle212[[#This Row],[Entfernung (km) einfach]]&gt;1000,Tabelle212[[#This Row],[Entfernung (km) einfach]]&lt;2000),Tabelle212[[#This Row],[Entfernung (km) gesamt]], 0), 0)*Tabelle212[[#This Row],[Anzahl Studierende ]]</f>
        <v>0</v>
      </c>
      <c r="Q37" s="33">
        <f>IF(Tabelle212[[#This Row],[Verkehrsmittel]]="Flug", IF(AND(Tabelle212[[#This Row],[Entfernung (km) einfach]]&gt;2000,Tabelle212[[#This Row],[Entfernung (km) einfach]]&lt;5000),Tabelle212[[#This Row],[Entfernung (km) gesamt]], 0), 0)*Tabelle212[[#This Row],[Anzahl Studierende ]]</f>
        <v>0</v>
      </c>
      <c r="R37" s="33">
        <f>IF(Tabelle212[[#This Row],[Verkehrsmittel]]="Flug", IF(AND(Tabelle212[[#This Row],[Entfernung (km) einfach]]&gt;5000,Tabelle212[[#This Row],[Entfernung (km) einfach]]&lt;10000),Tabelle212[[#This Row],[Entfernung (km) gesamt]], 0), 0)*Tabelle212[[#This Row],[Anzahl Studierende ]]</f>
        <v>0</v>
      </c>
      <c r="S37" s="33">
        <f>IF(Tabelle212[[#This Row],[Verkehrsmittel]]="Flug", IF(AND(Tabelle212[[#This Row],[Entfernung (km) einfach]]&gt;10000),Tabelle212[[#This Row],[Entfernung (km) gesamt]]), 0)*Tabelle212[[#This Row],[Anzahl Studierende ]]</f>
        <v>0</v>
      </c>
      <c r="T37" s="33">
        <f>IF(Tabelle212[[#This Row],[Verkehrsmittel]]="Motorrad",Tabelle212[[#This Row],[Entfernung (km) gesamt]],0)*Tabelle212[[#This Row],[Anzahl Studierende ]]</f>
        <v>0</v>
      </c>
      <c r="U37" s="33">
        <f>IF(Tabelle212[[#This Row],[Verkehrsmittel]]="Straßen-, S-, U-Bahn",Tabelle212[[#This Row],[Entfernung (km) gesamt]],0)*Tabelle212[[#This Row],[Anzahl Studierende ]]</f>
        <v>0</v>
      </c>
      <c r="V37" s="33">
        <f>IF(Tabelle212[[#This Row],[Verkehrsmittel]]="Fahrrad",Tabelle212[[#This Row],[Entfernung (km) gesamt]],0)*Tabelle212[[#This Row],[Anzahl Studierende ]]</f>
        <v>0</v>
      </c>
    </row>
    <row r="38" spans="2:22" s="8" customFormat="1">
      <c r="B38" s="138"/>
      <c r="C38" s="139"/>
      <c r="D38" s="160"/>
      <c r="E38" s="111"/>
      <c r="F38" s="111"/>
      <c r="G38" s="111"/>
      <c r="H38" s="117">
        <f>Tabelle212[[#This Row],[Entfernung (km) einfach]]*2</f>
        <v>0</v>
      </c>
      <c r="I38" s="111"/>
      <c r="J38" s="140"/>
      <c r="K38" s="33">
        <f>IF(Tabelle212[[#This Row],[Verkehrsmittel]]="Bus",Tabelle212[[#This Row],[Entfernung (km) gesamt]],0)*Tabelle212[[#This Row],[Anzahl Studierende ]]</f>
        <v>0</v>
      </c>
      <c r="L38" s="33">
        <f>IF(Tabelle212[[#This Row],[Verkehrsmittel]]="Bahn",Tabelle212[[#This Row],[Anzahl Studierende ]]*Tabelle212[[#This Row],[Entfernung (km) gesamt]],0)</f>
        <v>0</v>
      </c>
      <c r="M38" s="33">
        <f>IF(Tabelle212[[#This Row],[Verkehrsmittel]]="PKW",Tabelle212[[#This Row],[Anzahl Studierende ]]*Tabelle212[[#This Row],[Entfernung (km) gesamt]],0)</f>
        <v>0</v>
      </c>
      <c r="N38" s="33">
        <f>IF(Tabelle212[[#This Row],[Verkehrsmittel]]="Flug", IF(AND(Tabelle212[[#This Row],[Entfernung (km) einfach]]&lt;500),Tabelle212[[#This Row],[Entfernung (km) gesamt]]), 0)*Tabelle212[[#This Row],[Anzahl Studierende ]]</f>
        <v>0</v>
      </c>
      <c r="O38" s="33">
        <f>IF(Tabelle212[[#This Row],[Verkehrsmittel]]="Flug", IF(AND(Tabelle212[[#This Row],[Entfernung (km) einfach]]&gt;500,Tabelle212[[#This Row],[Entfernung (km) einfach]]&lt;1000),Tabelle212[[#This Row],[Entfernung (km) gesamt]], 0), 0)*Tabelle212[[#This Row],[Anzahl Studierende ]]</f>
        <v>0</v>
      </c>
      <c r="P38" s="33">
        <f>IF(Tabelle212[[#This Row],[Verkehrsmittel]]="Flug", IF(AND(Tabelle212[[#This Row],[Entfernung (km) einfach]]&gt;1000,Tabelle212[[#This Row],[Entfernung (km) einfach]]&lt;2000),Tabelle212[[#This Row],[Entfernung (km) gesamt]], 0), 0)*Tabelle212[[#This Row],[Anzahl Studierende ]]</f>
        <v>0</v>
      </c>
      <c r="Q38" s="33">
        <f>IF(Tabelle212[[#This Row],[Verkehrsmittel]]="Flug", IF(AND(Tabelle212[[#This Row],[Entfernung (km) einfach]]&gt;2000,Tabelle212[[#This Row],[Entfernung (km) einfach]]&lt;5000),Tabelle212[[#This Row],[Entfernung (km) gesamt]], 0), 0)*Tabelle212[[#This Row],[Anzahl Studierende ]]</f>
        <v>0</v>
      </c>
      <c r="R38" s="33">
        <f>IF(Tabelle212[[#This Row],[Verkehrsmittel]]="Flug", IF(AND(Tabelle212[[#This Row],[Entfernung (km) einfach]]&gt;5000,Tabelle212[[#This Row],[Entfernung (km) einfach]]&lt;10000),Tabelle212[[#This Row],[Entfernung (km) gesamt]], 0), 0)*Tabelle212[[#This Row],[Anzahl Studierende ]]</f>
        <v>0</v>
      </c>
      <c r="S38" s="33">
        <f>IF(Tabelle212[[#This Row],[Verkehrsmittel]]="Flug", IF(AND(Tabelle212[[#This Row],[Entfernung (km) einfach]]&gt;10000),Tabelle212[[#This Row],[Entfernung (km) gesamt]]), 0)*Tabelle212[[#This Row],[Anzahl Studierende ]]</f>
        <v>0</v>
      </c>
      <c r="T38" s="33">
        <f>IF(Tabelle212[[#This Row],[Verkehrsmittel]]="Motorrad",Tabelle212[[#This Row],[Entfernung (km) gesamt]],0)*Tabelle212[[#This Row],[Anzahl Studierende ]]</f>
        <v>0</v>
      </c>
      <c r="U38" s="33">
        <f>IF(Tabelle212[[#This Row],[Verkehrsmittel]]="Straßen-, S-, U-Bahn",Tabelle212[[#This Row],[Entfernung (km) gesamt]],0)*Tabelle212[[#This Row],[Anzahl Studierende ]]</f>
        <v>0</v>
      </c>
      <c r="V38" s="33">
        <f>IF(Tabelle212[[#This Row],[Verkehrsmittel]]="Fahrrad",Tabelle212[[#This Row],[Entfernung (km) gesamt]],0)*Tabelle212[[#This Row],[Anzahl Studierende ]]</f>
        <v>0</v>
      </c>
    </row>
    <row r="39" spans="2:22" s="8" customFormat="1" ht="14.4" thickBot="1">
      <c r="B39" s="141"/>
      <c r="C39" s="142"/>
      <c r="D39" s="162"/>
      <c r="E39" s="122"/>
      <c r="F39" s="122"/>
      <c r="G39" s="122"/>
      <c r="H39" s="143">
        <f>Tabelle212[[#This Row],[Entfernung (km) einfach]]*2</f>
        <v>0</v>
      </c>
      <c r="I39" s="122"/>
      <c r="J39" s="144"/>
      <c r="K39" s="9">
        <f>IF(Tabelle212[[#This Row],[Verkehrsmittel]]="Bus",Tabelle212[[#This Row],[Entfernung (km) gesamt]],0)*Tabelle212[[#This Row],[Anzahl Studierende ]]</f>
        <v>0</v>
      </c>
      <c r="L39" s="9">
        <f>IF(Tabelle212[[#This Row],[Verkehrsmittel]]="Bahn",Tabelle212[[#This Row],[Anzahl Studierende ]]*Tabelle212[[#This Row],[Entfernung (km) gesamt]],0)</f>
        <v>0</v>
      </c>
      <c r="M39" s="9">
        <f>IF(Tabelle212[[#This Row],[Verkehrsmittel]]="PKW",Tabelle212[[#This Row],[Anzahl Studierende ]]*Tabelle212[[#This Row],[Entfernung (km) gesamt]],0)</f>
        <v>0</v>
      </c>
      <c r="N39" s="9">
        <f>IF(Tabelle212[[#This Row],[Verkehrsmittel]]="Flug", IF(AND(Tabelle212[[#This Row],[Entfernung (km) einfach]]&lt;500),Tabelle212[[#This Row],[Entfernung (km) gesamt]]), 0)*Tabelle212[[#This Row],[Anzahl Studierende ]]</f>
        <v>0</v>
      </c>
      <c r="O39" s="9">
        <f>IF(Tabelle212[[#This Row],[Verkehrsmittel]]="Flug", IF(AND(Tabelle212[[#This Row],[Entfernung (km) einfach]]&gt;500,Tabelle212[[#This Row],[Entfernung (km) einfach]]&lt;1000),Tabelle212[[#This Row],[Entfernung (km) gesamt]], 0), 0)*Tabelle212[[#This Row],[Anzahl Studierende ]]</f>
        <v>0</v>
      </c>
      <c r="P39" s="9">
        <f>IF(Tabelle212[[#This Row],[Verkehrsmittel]]="Flug", IF(AND(Tabelle212[[#This Row],[Entfernung (km) einfach]]&gt;1000,Tabelle212[[#This Row],[Entfernung (km) einfach]]&lt;2000),Tabelle212[[#This Row],[Entfernung (km) gesamt]], 0), 0)*Tabelle212[[#This Row],[Anzahl Studierende ]]</f>
        <v>0</v>
      </c>
      <c r="Q39" s="9">
        <f>IF(Tabelle212[[#This Row],[Verkehrsmittel]]="Flug", IF(AND(Tabelle212[[#This Row],[Entfernung (km) einfach]]&gt;2000,Tabelle212[[#This Row],[Entfernung (km) einfach]]&lt;5000),Tabelle212[[#This Row],[Entfernung (km) gesamt]], 0), 0)*Tabelle212[[#This Row],[Anzahl Studierende ]]</f>
        <v>0</v>
      </c>
      <c r="R39" s="9">
        <f>IF(Tabelle212[[#This Row],[Verkehrsmittel]]="Flug", IF(AND(Tabelle212[[#This Row],[Entfernung (km) einfach]]&gt;5000,Tabelle212[[#This Row],[Entfernung (km) einfach]]&lt;10000),Tabelle212[[#This Row],[Entfernung (km) gesamt]], 0), 0)*Tabelle212[[#This Row],[Anzahl Studierende ]]</f>
        <v>0</v>
      </c>
      <c r="S39" s="9">
        <f>IF(Tabelle212[[#This Row],[Verkehrsmittel]]="Flug", IF(AND(Tabelle212[[#This Row],[Entfernung (km) einfach]]&gt;10000),Tabelle212[[#This Row],[Entfernung (km) gesamt]]), 0)*Tabelle212[[#This Row],[Anzahl Studierende ]]</f>
        <v>0</v>
      </c>
      <c r="T39" s="9">
        <f>IF(Tabelle212[[#This Row],[Verkehrsmittel]]="Motorrad",Tabelle212[[#This Row],[Entfernung (km) gesamt]],0)*Tabelle212[[#This Row],[Anzahl Studierende ]]</f>
        <v>0</v>
      </c>
      <c r="U39" s="9">
        <f>IF(Tabelle212[[#This Row],[Verkehrsmittel]]="Straßen-, S-, U-Bahn",Tabelle212[[#This Row],[Entfernung (km) gesamt]],0)*Tabelle212[[#This Row],[Anzahl Studierende ]]</f>
        <v>0</v>
      </c>
      <c r="V39" s="9">
        <f>IF(Tabelle212[[#This Row],[Verkehrsmittel]]="Fahrrad",Tabelle212[[#This Row],[Entfernung (km) gesamt]],0)*Tabelle212[[#This Row],[Anzahl Studierende ]]</f>
        <v>0</v>
      </c>
    </row>
    <row r="40" spans="2:22" s="8" customFormat="1" ht="14.4" thickBot="1">
      <c r="B40" s="163"/>
      <c r="C40" s="164"/>
      <c r="D40" s="165"/>
      <c r="E40" s="164"/>
      <c r="F40" s="164"/>
      <c r="G40" s="164"/>
      <c r="H40" s="164"/>
      <c r="I40" s="164"/>
      <c r="J40" s="166"/>
      <c r="K40" s="10">
        <f>SUM(Tabelle212[Km Bus])</f>
        <v>0</v>
      </c>
      <c r="L40" s="10">
        <f>SUM(Tabelle212[Km Bahn])</f>
        <v>0</v>
      </c>
      <c r="M40" s="10">
        <f>SUM(Tabelle212[Km PKW])</f>
        <v>0</v>
      </c>
      <c r="N40" s="10">
        <f>SUM(Tabelle212[Flug bis 500])</f>
        <v>0</v>
      </c>
      <c r="O40" s="10">
        <f>SUM(Tabelle212[Flug 500 - 1000 km])</f>
        <v>0</v>
      </c>
      <c r="P40" s="10">
        <f>SUM(Tabelle212[Flug 1000 - 2000])</f>
        <v>0</v>
      </c>
      <c r="Q40" s="10">
        <f>SUM(Tabelle212[Flug 2000 - 5000])</f>
        <v>0</v>
      </c>
      <c r="R40" s="10">
        <f>SUM(Tabelle212[Flug 5000 - 10000])</f>
        <v>0</v>
      </c>
      <c r="S40" s="10">
        <f>SUM(Tabelle212[Flug über 10000])</f>
        <v>0</v>
      </c>
      <c r="T40" s="10">
        <f>SUM(Tabelle212[Motorrad])</f>
        <v>0</v>
      </c>
      <c r="U40" s="10">
        <f>SUM(Tabelle212[Straßen-, S-, U-Bahn])</f>
        <v>0</v>
      </c>
      <c r="V40" s="10">
        <f>SUM(Tabelle212[Fahrrad])</f>
        <v>0</v>
      </c>
    </row>
  </sheetData>
  <sheetProtection algorithmName="SHA-512" hashValue="J+BWhNp6zIGc0nhq8iw0xv4Rk9xa5AHEr5amBwG/TtHGMWfDhS0Y/ok9wXDrXGBmFXpuvRjESTdLMBT8ZSAoZg==" saltValue="wcWdp5EchpljfeBojIFEnQ==" spinCount="100000" sheet="1" objects="1" formatCells="0" formatColumns="0" formatRows="0" insertColumns="0" insertRows="0" insertHyperlinks="0" deleteColumns="0" deleteRows="0" sort="0" autoFilter="0" pivotTables="0"/>
  <mergeCells count="2">
    <mergeCell ref="B5:C5"/>
    <mergeCell ref="F2:G5"/>
  </mergeCells>
  <phoneticPr fontId="3" type="noConversion"/>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E38233C-F9C7-4DFC-A626-306995D955C5}">
          <x14:formula1>
            <xm:f>Hilfstabelle!$A$1:$A$8</xm:f>
          </x14:formula1>
          <xm:sqref>I8:I39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3C7C6-68D6-4138-AD9B-830453CFC9B4}">
  <dimension ref="A1:V40"/>
  <sheetViews>
    <sheetView showGridLines="0" workbookViewId="0">
      <selection activeCell="H5" sqref="H5"/>
    </sheetView>
  </sheetViews>
  <sheetFormatPr baseColWidth="10" defaultRowHeight="13.8"/>
  <cols>
    <col min="1" max="1" width="21.8984375" bestFit="1" customWidth="1"/>
    <col min="2" max="3" width="11.19921875" style="20"/>
    <col min="4" max="4" width="20.8984375" style="20" bestFit="1" customWidth="1"/>
    <col min="5" max="5" width="22.59765625" style="20" customWidth="1"/>
    <col min="6" max="6" width="23.5" style="20" customWidth="1"/>
    <col min="7" max="7" width="24.3984375" style="20" bestFit="1" customWidth="1"/>
    <col min="8" max="8" width="24.19921875" style="20" bestFit="1" customWidth="1"/>
    <col min="9" max="9" width="16.09765625" style="20" bestFit="1" customWidth="1"/>
    <col min="10" max="10" width="14.296875" style="20" bestFit="1" customWidth="1"/>
    <col min="11" max="19" width="11.19921875" hidden="1" customWidth="1"/>
    <col min="20" max="21" width="0" hidden="1" customWidth="1"/>
    <col min="22" max="22" width="14" hidden="1" customWidth="1"/>
  </cols>
  <sheetData>
    <row r="1" spans="1:22" ht="14.4" thickBot="1"/>
    <row r="2" spans="1:22" ht="14.4" customHeight="1" thickBot="1">
      <c r="B2" s="98"/>
      <c r="F2" s="94" t="s">
        <v>51</v>
      </c>
      <c r="G2" s="95"/>
    </row>
    <row r="3" spans="1:22" ht="14.4" customHeight="1" thickBot="1">
      <c r="A3" s="1" t="s">
        <v>19</v>
      </c>
      <c r="B3" s="54" t="s">
        <v>43</v>
      </c>
      <c r="C3" s="55"/>
      <c r="F3" s="96"/>
      <c r="G3" s="97"/>
    </row>
    <row r="4" spans="1:22" ht="14.4" customHeight="1" thickBot="1">
      <c r="F4" s="96"/>
      <c r="G4" s="97"/>
    </row>
    <row r="5" spans="1:22" ht="14.4" customHeight="1"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t="s">
        <v>33</v>
      </c>
      <c r="U7" t="s">
        <v>34</v>
      </c>
      <c r="V7" t="s">
        <v>10</v>
      </c>
    </row>
    <row r="8" spans="1:22" s="8" customFormat="1" ht="15.6">
      <c r="A8"/>
      <c r="B8" s="104"/>
      <c r="C8" s="105"/>
      <c r="D8" s="106"/>
      <c r="E8" s="107"/>
      <c r="F8" s="107"/>
      <c r="G8" s="106"/>
      <c r="H8" s="107">
        <f>Tabelle21213[[#This Row],[Entfernung (km) einfach]]*2</f>
        <v>0</v>
      </c>
      <c r="I8" s="107"/>
      <c r="J8" s="158"/>
      <c r="K8" s="7">
        <f>IF(Tabelle21213[[#This Row],[Verkehrsmittel]]="Bus",Tabelle21213[[#This Row],[Entfernung (km) gesamt]],0)*Tabelle21213[[#This Row],[Anzahl Studierende ]]</f>
        <v>0</v>
      </c>
      <c r="L8" s="7">
        <f>IF(Tabelle21213[[#This Row],[Verkehrsmittel]]="Bahn",Tabelle21213[[#This Row],[Anzahl Studierende ]]*Tabelle21213[[#This Row],[Entfernung (km) gesamt]],0)</f>
        <v>0</v>
      </c>
      <c r="M8" s="7">
        <f>IF(Tabelle21213[[#This Row],[Verkehrsmittel]]="PKW",Tabelle21213[[#This Row],[Anzahl Studierende ]]*Tabelle21213[[#This Row],[Entfernung (km) gesamt]],0)</f>
        <v>0</v>
      </c>
      <c r="N8" s="7">
        <f>IF(Tabelle21213[[#This Row],[Verkehrsmittel]]="Flug", IF(AND(Tabelle21213[[#This Row],[Entfernung (km) einfach]]&lt;500),Tabelle21213[[#This Row],[Entfernung (km) gesamt]]), 0)*Tabelle21213[[#This Row],[Anzahl Studierende ]]</f>
        <v>0</v>
      </c>
      <c r="O8" s="7">
        <f>IF(Tabelle21213[[#This Row],[Verkehrsmittel]]="Flug", IF(AND(Tabelle21213[[#This Row],[Entfernung (km) einfach]]&gt;500,Tabelle21213[[#This Row],[Entfernung (km) einfach]]&lt;1000),Tabelle21213[[#This Row],[Entfernung (km) gesamt]], 0), 0)*Tabelle21213[[#This Row],[Anzahl Studierende ]]</f>
        <v>0</v>
      </c>
      <c r="P8" s="7">
        <f>IF(Tabelle21213[[#This Row],[Verkehrsmittel]]="Flug", IF(AND(Tabelle21213[[#This Row],[Entfernung (km) einfach]]&gt;1000,Tabelle21213[[#This Row],[Entfernung (km) einfach]]&lt;2000),Tabelle21213[[#This Row],[Entfernung (km) gesamt]], 0), 0)*Tabelle21213[[#This Row],[Anzahl Studierende ]]</f>
        <v>0</v>
      </c>
      <c r="Q8" s="7">
        <f>IF(Tabelle21213[[#This Row],[Verkehrsmittel]]="Flug", IF(AND(Tabelle21213[[#This Row],[Entfernung (km) einfach]]&gt;2000,Tabelle21213[[#This Row],[Entfernung (km) einfach]]&lt;5000),Tabelle21213[[#This Row],[Entfernung (km) gesamt]], 0), 0)*Tabelle21213[[#This Row],[Anzahl Studierende ]]</f>
        <v>0</v>
      </c>
      <c r="R8" s="7">
        <f>IF(Tabelle21213[[#This Row],[Verkehrsmittel]]="Flug", IF(AND(Tabelle21213[[#This Row],[Entfernung (km) einfach]]&gt;5000,Tabelle21213[[#This Row],[Entfernung (km) einfach]]&lt;10000),Tabelle21213[[#This Row],[Entfernung (km) gesamt]], 0), 0)*Tabelle21213[[#This Row],[Anzahl Studierende ]]</f>
        <v>0</v>
      </c>
      <c r="S8" s="7">
        <f>IF(Tabelle21213[[#This Row],[Verkehrsmittel]]="Flug", IF(AND(Tabelle21213[[#This Row],[Entfernung (km) einfach]]&gt;10000),Tabelle21213[[#This Row],[Entfernung (km) gesamt]]), 0)*Tabelle21213[[#This Row],[Anzahl Studierende ]]</f>
        <v>0</v>
      </c>
      <c r="T8" s="19">
        <f>IF(Tabelle21213[[#This Row],[Verkehrsmittel]]="Motorrad",Tabelle21213[[#This Row],[Entfernung (km) gesamt]],0)*Tabelle21213[[#This Row],[Anzahl Studierende ]]</f>
        <v>0</v>
      </c>
      <c r="U8" s="19">
        <f>IF(Tabelle21213[[#This Row],[Verkehrsmittel]]="Straßen-, S-, U-Bahn",Tabelle21213[[#This Row],[Entfernung (km) gesamt]],0)*Tabelle21213[[#This Row],[Anzahl Studierende ]]</f>
        <v>0</v>
      </c>
      <c r="V8" s="19">
        <f>IF(Tabelle21213[[#This Row],[Verkehrsmittel]]="Fahrrad",Tabelle21213[[#This Row],[Entfernung (km) gesamt]],0)*Tabelle21213[[#This Row],[Anzahl Studierende ]]</f>
        <v>0</v>
      </c>
    </row>
    <row r="9" spans="1:22" s="8" customFormat="1">
      <c r="A9"/>
      <c r="B9" s="159"/>
      <c r="C9" s="111"/>
      <c r="D9" s="160"/>
      <c r="E9" s="111"/>
      <c r="F9" s="111"/>
      <c r="G9" s="111"/>
      <c r="H9" s="111">
        <f>Tabelle21213[[#This Row],[Entfernung (km) einfach]]*2</f>
        <v>0</v>
      </c>
      <c r="I9" s="111"/>
      <c r="J9" s="140"/>
      <c r="K9" s="9">
        <f>IF(Tabelle21213[[#This Row],[Verkehrsmittel]]="Bus",Tabelle21213[[#This Row],[Entfernung (km) gesamt]],0)*Tabelle21213[[#This Row],[Anzahl Studierende ]]</f>
        <v>0</v>
      </c>
      <c r="L9" s="9">
        <f>IF(Tabelle21213[[#This Row],[Verkehrsmittel]]="Bahn",Tabelle21213[[#This Row],[Anzahl Studierende ]]*Tabelle21213[[#This Row],[Entfernung (km) gesamt]],0)</f>
        <v>0</v>
      </c>
      <c r="M9" s="9">
        <f>IF(Tabelle21213[[#This Row],[Verkehrsmittel]]="PKW",Tabelle21213[[#This Row],[Anzahl Studierende ]]*Tabelle21213[[#This Row],[Entfernung (km) gesamt]],0)</f>
        <v>0</v>
      </c>
      <c r="N9" s="9">
        <f>IF(Tabelle21213[[#This Row],[Verkehrsmittel]]="Flug", IF(AND(Tabelle21213[[#This Row],[Entfernung (km) einfach]]&lt;500),Tabelle21213[[#This Row],[Entfernung (km) gesamt]]), 0)*Tabelle21213[[#This Row],[Anzahl Studierende ]]</f>
        <v>0</v>
      </c>
      <c r="O9" s="9">
        <f>IF(Tabelle21213[[#This Row],[Verkehrsmittel]]="Flug", IF(AND(Tabelle21213[[#This Row],[Entfernung (km) einfach]]&gt;500,Tabelle21213[[#This Row],[Entfernung (km) einfach]]&lt;1000),Tabelle21213[[#This Row],[Entfernung (km) gesamt]], 0), 0)*Tabelle21213[[#This Row],[Anzahl Studierende ]]</f>
        <v>0</v>
      </c>
      <c r="P9" s="9">
        <f>IF(Tabelle21213[[#This Row],[Verkehrsmittel]]="Flug", IF(AND(Tabelle21213[[#This Row],[Entfernung (km) einfach]]&gt;1000,Tabelle21213[[#This Row],[Entfernung (km) einfach]]&lt;2000),Tabelle21213[[#This Row],[Entfernung (km) gesamt]], 0), 0)*Tabelle21213[[#This Row],[Anzahl Studierende ]]</f>
        <v>0</v>
      </c>
      <c r="Q9" s="9">
        <f>IF(Tabelle21213[[#This Row],[Verkehrsmittel]]="Flug", IF(AND(Tabelle21213[[#This Row],[Entfernung (km) einfach]]&gt;2000,Tabelle21213[[#This Row],[Entfernung (km) einfach]]&lt;5000),Tabelle21213[[#This Row],[Entfernung (km) gesamt]], 0), 0)*Tabelle21213[[#This Row],[Anzahl Studierende ]]</f>
        <v>0</v>
      </c>
      <c r="R9" s="9">
        <f>IF(Tabelle21213[[#This Row],[Verkehrsmittel]]="Flug", IF(AND(Tabelle21213[[#This Row],[Entfernung (km) einfach]]&gt;5000,Tabelle21213[[#This Row],[Entfernung (km) einfach]]&lt;10000),Tabelle21213[[#This Row],[Entfernung (km) gesamt]], 0), 0)*Tabelle21213[[#This Row],[Anzahl Studierende ]]</f>
        <v>0</v>
      </c>
      <c r="S9" s="9">
        <f>IF(Tabelle21213[[#This Row],[Verkehrsmittel]]="Flug", IF(AND(Tabelle21213[[#This Row],[Entfernung (km) einfach]]&gt;10000),Tabelle21213[[#This Row],[Entfernung (km) gesamt]]), 0)*Tabelle21213[[#This Row],[Anzahl Studierende ]]</f>
        <v>0</v>
      </c>
      <c r="T9" s="19">
        <f>IF(Tabelle21213[[#This Row],[Verkehrsmittel]]="Motorrad",Tabelle21213[[#This Row],[Entfernung (km) gesamt]],0)*Tabelle21213[[#This Row],[Anzahl Studierende ]]</f>
        <v>0</v>
      </c>
      <c r="U9" s="19">
        <f>IF(Tabelle21213[[#This Row],[Verkehrsmittel]]="Straßen-, S-, U-Bahn",Tabelle21213[[#This Row],[Entfernung (km) gesamt]],0)*Tabelle21213[[#This Row],[Anzahl Studierende ]]</f>
        <v>0</v>
      </c>
      <c r="V9" s="19">
        <f>IF(Tabelle21213[[#This Row],[Verkehrsmittel]]="Fahrrad",Tabelle21213[[#This Row],[Entfernung (km) gesamt]],0)*Tabelle21213[[#This Row],[Anzahl Studierende ]]</f>
        <v>0</v>
      </c>
    </row>
    <row r="10" spans="1:22" s="8" customFormat="1">
      <c r="A10"/>
      <c r="B10" s="159"/>
      <c r="C10" s="111"/>
      <c r="D10" s="160"/>
      <c r="E10" s="111"/>
      <c r="F10" s="111"/>
      <c r="G10" s="111"/>
      <c r="H10" s="111">
        <f>Tabelle21213[[#This Row],[Entfernung (km) einfach]]*2</f>
        <v>0</v>
      </c>
      <c r="I10" s="111"/>
      <c r="J10" s="140"/>
      <c r="K10" s="9">
        <f>IF(Tabelle21213[[#This Row],[Verkehrsmittel]]="Bus",Tabelle21213[[#This Row],[Entfernung (km) gesamt]],0)*Tabelle21213[[#This Row],[Anzahl Studierende ]]</f>
        <v>0</v>
      </c>
      <c r="L10" s="9">
        <f>IF(Tabelle21213[[#This Row],[Verkehrsmittel]]="Bahn",Tabelle21213[[#This Row],[Anzahl Studierende ]]*Tabelle21213[[#This Row],[Entfernung (km) gesamt]],0)</f>
        <v>0</v>
      </c>
      <c r="M10" s="9">
        <f>IF(Tabelle21213[[#This Row],[Verkehrsmittel]]="PKW",Tabelle21213[[#This Row],[Anzahl Studierende ]]*Tabelle21213[[#This Row],[Entfernung (km) gesamt]],0)</f>
        <v>0</v>
      </c>
      <c r="N10" s="9">
        <f>IF(Tabelle21213[[#This Row],[Verkehrsmittel]]="Flug", IF(AND(Tabelle21213[[#This Row],[Entfernung (km) einfach]]&lt;500),Tabelle21213[[#This Row],[Entfernung (km) gesamt]]), 0)*Tabelle21213[[#This Row],[Anzahl Studierende ]]</f>
        <v>0</v>
      </c>
      <c r="O10" s="9">
        <f>IF(Tabelle21213[[#This Row],[Verkehrsmittel]]="Flug", IF(AND(Tabelle21213[[#This Row],[Entfernung (km) einfach]]&gt;500,Tabelle21213[[#This Row],[Entfernung (km) einfach]]&lt;1000),Tabelle21213[[#This Row],[Entfernung (km) gesamt]], 0), 0)*Tabelle21213[[#This Row],[Anzahl Studierende ]]</f>
        <v>0</v>
      </c>
      <c r="P10" s="9">
        <f>IF(Tabelle21213[[#This Row],[Verkehrsmittel]]="Flug", IF(AND(Tabelle21213[[#This Row],[Entfernung (km) einfach]]&gt;1000,Tabelle21213[[#This Row],[Entfernung (km) einfach]]&lt;2000),Tabelle21213[[#This Row],[Entfernung (km) gesamt]], 0), 0)*Tabelle21213[[#This Row],[Anzahl Studierende ]]</f>
        <v>0</v>
      </c>
      <c r="Q10" s="9">
        <f>IF(Tabelle21213[[#This Row],[Verkehrsmittel]]="Flug", IF(AND(Tabelle21213[[#This Row],[Entfernung (km) einfach]]&gt;2000,Tabelle21213[[#This Row],[Entfernung (km) einfach]]&lt;5000),Tabelle21213[[#This Row],[Entfernung (km) gesamt]], 0), 0)*Tabelle21213[[#This Row],[Anzahl Studierende ]]</f>
        <v>0</v>
      </c>
      <c r="R10" s="9">
        <f>IF(Tabelle21213[[#This Row],[Verkehrsmittel]]="Flug", IF(AND(Tabelle21213[[#This Row],[Entfernung (km) einfach]]&gt;5000,Tabelle21213[[#This Row],[Entfernung (km) einfach]]&lt;10000),Tabelle21213[[#This Row],[Entfernung (km) gesamt]], 0), 0)*Tabelle21213[[#This Row],[Anzahl Studierende ]]</f>
        <v>0</v>
      </c>
      <c r="S10" s="9">
        <f>IF(Tabelle21213[[#This Row],[Verkehrsmittel]]="Flug", IF(AND(Tabelle21213[[#This Row],[Entfernung (km) einfach]]&gt;10000),Tabelle21213[[#This Row],[Entfernung (km) gesamt]]), 0)*Tabelle21213[[#This Row],[Anzahl Studierende ]]</f>
        <v>0</v>
      </c>
      <c r="T10" s="19">
        <f>IF(Tabelle21213[[#This Row],[Verkehrsmittel]]="Motorrad",Tabelle21213[[#This Row],[Entfernung (km) gesamt]],0)*Tabelle21213[[#This Row],[Anzahl Studierende ]]</f>
        <v>0</v>
      </c>
      <c r="U10" s="19">
        <f>IF(Tabelle21213[[#This Row],[Verkehrsmittel]]="Straßen-, S-, U-Bahn",Tabelle21213[[#This Row],[Entfernung (km) gesamt]],0)*Tabelle21213[[#This Row],[Anzahl Studierende ]]</f>
        <v>0</v>
      </c>
      <c r="V10" s="19">
        <f>IF(Tabelle21213[[#This Row],[Verkehrsmittel]]="Fahrrad",Tabelle21213[[#This Row],[Entfernung (km) gesamt]],0)*Tabelle21213[[#This Row],[Anzahl Studierende ]]</f>
        <v>0</v>
      </c>
    </row>
    <row r="11" spans="1:22" s="8" customFormat="1">
      <c r="A11"/>
      <c r="B11" s="159"/>
      <c r="C11" s="111"/>
      <c r="D11" s="160"/>
      <c r="E11" s="111"/>
      <c r="F11" s="111"/>
      <c r="G11" s="111"/>
      <c r="H11" s="111">
        <f>Tabelle21213[[#This Row],[Entfernung (km) einfach]]*2</f>
        <v>0</v>
      </c>
      <c r="I11" s="111"/>
      <c r="J11" s="140"/>
      <c r="K11" s="9">
        <f>IF(Tabelle21213[[#This Row],[Verkehrsmittel]]="Bus",Tabelle21213[[#This Row],[Entfernung (km) gesamt]],0)*Tabelle21213[[#This Row],[Anzahl Studierende ]]</f>
        <v>0</v>
      </c>
      <c r="L11" s="9">
        <f>IF(Tabelle21213[[#This Row],[Verkehrsmittel]]="Bahn",Tabelle21213[[#This Row],[Anzahl Studierende ]]*Tabelle21213[[#This Row],[Entfernung (km) gesamt]],0)</f>
        <v>0</v>
      </c>
      <c r="M11" s="9">
        <f>IF(Tabelle21213[[#This Row],[Verkehrsmittel]]="PKW",Tabelle21213[[#This Row],[Anzahl Studierende ]]*Tabelle21213[[#This Row],[Entfernung (km) gesamt]],0)</f>
        <v>0</v>
      </c>
      <c r="N11" s="9">
        <f>IF(Tabelle21213[[#This Row],[Verkehrsmittel]]="Flug", IF(AND(Tabelle21213[[#This Row],[Entfernung (km) einfach]]&lt;500),Tabelle21213[[#This Row],[Entfernung (km) gesamt]]), 0)*Tabelle21213[[#This Row],[Anzahl Studierende ]]</f>
        <v>0</v>
      </c>
      <c r="O11" s="9">
        <f>IF(Tabelle21213[[#This Row],[Verkehrsmittel]]="Flug", IF(AND(Tabelle21213[[#This Row],[Entfernung (km) einfach]]&gt;500,Tabelle21213[[#This Row],[Entfernung (km) einfach]]&lt;1000),Tabelle21213[[#This Row],[Entfernung (km) gesamt]], 0), 0)*Tabelle21213[[#This Row],[Anzahl Studierende ]]</f>
        <v>0</v>
      </c>
      <c r="P11" s="9">
        <f>IF(Tabelle21213[[#This Row],[Verkehrsmittel]]="Flug", IF(AND(Tabelle21213[[#This Row],[Entfernung (km) einfach]]&gt;1000,Tabelle21213[[#This Row],[Entfernung (km) einfach]]&lt;2000),Tabelle21213[[#This Row],[Entfernung (km) gesamt]], 0), 0)*Tabelle21213[[#This Row],[Anzahl Studierende ]]</f>
        <v>0</v>
      </c>
      <c r="Q11" s="9">
        <f>IF(Tabelle21213[[#This Row],[Verkehrsmittel]]="Flug", IF(AND(Tabelle21213[[#This Row],[Entfernung (km) einfach]]&gt;2000,Tabelle21213[[#This Row],[Entfernung (km) einfach]]&lt;5000),Tabelle21213[[#This Row],[Entfernung (km) gesamt]], 0), 0)*Tabelle21213[[#This Row],[Anzahl Studierende ]]</f>
        <v>0</v>
      </c>
      <c r="R11" s="9">
        <f>IF(Tabelle21213[[#This Row],[Verkehrsmittel]]="Flug", IF(AND(Tabelle21213[[#This Row],[Entfernung (km) einfach]]&gt;5000,Tabelle21213[[#This Row],[Entfernung (km) einfach]]&lt;10000),Tabelle21213[[#This Row],[Entfernung (km) gesamt]], 0), 0)*Tabelle21213[[#This Row],[Anzahl Studierende ]]</f>
        <v>0</v>
      </c>
      <c r="S11" s="9">
        <f>IF(Tabelle21213[[#This Row],[Verkehrsmittel]]="Flug", IF(AND(Tabelle21213[[#This Row],[Entfernung (km) einfach]]&gt;10000),Tabelle21213[[#This Row],[Entfernung (km) gesamt]]), 0)*Tabelle21213[[#This Row],[Anzahl Studierende ]]</f>
        <v>0</v>
      </c>
      <c r="T11" s="19">
        <f>IF(Tabelle21213[[#This Row],[Verkehrsmittel]]="Motorrad",Tabelle21213[[#This Row],[Entfernung (km) gesamt]],0)*Tabelle21213[[#This Row],[Anzahl Studierende ]]</f>
        <v>0</v>
      </c>
      <c r="U11" s="19">
        <f>IF(Tabelle21213[[#This Row],[Verkehrsmittel]]="Straßen-, S-, U-Bahn",Tabelle21213[[#This Row],[Entfernung (km) gesamt]],0)*Tabelle21213[[#This Row],[Anzahl Studierende ]]</f>
        <v>0</v>
      </c>
      <c r="V11" s="19">
        <f>IF(Tabelle21213[[#This Row],[Verkehrsmittel]]="Fahrrad",Tabelle21213[[#This Row],[Entfernung (km) gesamt]],0)*Tabelle21213[[#This Row],[Anzahl Studierende ]]</f>
        <v>0</v>
      </c>
    </row>
    <row r="12" spans="1:22" s="8" customFormat="1">
      <c r="A12"/>
      <c r="B12" s="159"/>
      <c r="C12" s="111"/>
      <c r="D12" s="160"/>
      <c r="E12" s="111"/>
      <c r="F12" s="111"/>
      <c r="G12" s="111"/>
      <c r="H12" s="111">
        <f>Tabelle21213[[#This Row],[Entfernung (km) einfach]]*2</f>
        <v>0</v>
      </c>
      <c r="I12" s="111"/>
      <c r="J12" s="140"/>
      <c r="K12" s="9">
        <f>IF(Tabelle21213[[#This Row],[Verkehrsmittel]]="Bus",Tabelle21213[[#This Row],[Entfernung (km) gesamt]],0)*Tabelle21213[[#This Row],[Anzahl Studierende ]]</f>
        <v>0</v>
      </c>
      <c r="L12" s="9">
        <f>IF(Tabelle21213[[#This Row],[Verkehrsmittel]]="Bahn",Tabelle21213[[#This Row],[Anzahl Studierende ]]*Tabelle21213[[#This Row],[Entfernung (km) gesamt]],0)</f>
        <v>0</v>
      </c>
      <c r="M12" s="9">
        <f>IF(Tabelle21213[[#This Row],[Verkehrsmittel]]="PKW",Tabelle21213[[#This Row],[Anzahl Studierende ]]*Tabelle21213[[#This Row],[Entfernung (km) gesamt]],0)</f>
        <v>0</v>
      </c>
      <c r="N12" s="9">
        <f>IF(Tabelle21213[[#This Row],[Verkehrsmittel]]="Flug", IF(AND(Tabelle21213[[#This Row],[Entfernung (km) einfach]]&lt;500),Tabelle21213[[#This Row],[Entfernung (km) gesamt]]), 0)*Tabelle21213[[#This Row],[Anzahl Studierende ]]</f>
        <v>0</v>
      </c>
      <c r="O12" s="9">
        <f>IF(Tabelle21213[[#This Row],[Verkehrsmittel]]="Flug", IF(AND(Tabelle21213[[#This Row],[Entfernung (km) einfach]]&gt;500,Tabelle21213[[#This Row],[Entfernung (km) einfach]]&lt;1000),Tabelle21213[[#This Row],[Entfernung (km) gesamt]], 0), 0)*Tabelle21213[[#This Row],[Anzahl Studierende ]]</f>
        <v>0</v>
      </c>
      <c r="P12" s="9">
        <f>IF(Tabelle21213[[#This Row],[Verkehrsmittel]]="Flug", IF(AND(Tabelle21213[[#This Row],[Entfernung (km) einfach]]&gt;1000,Tabelle21213[[#This Row],[Entfernung (km) einfach]]&lt;2000),Tabelle21213[[#This Row],[Entfernung (km) gesamt]], 0), 0)*Tabelle21213[[#This Row],[Anzahl Studierende ]]</f>
        <v>0</v>
      </c>
      <c r="Q12" s="9">
        <f>IF(Tabelle21213[[#This Row],[Verkehrsmittel]]="Flug", IF(AND(Tabelle21213[[#This Row],[Entfernung (km) einfach]]&gt;2000,Tabelle21213[[#This Row],[Entfernung (km) einfach]]&lt;5000),Tabelle21213[[#This Row],[Entfernung (km) gesamt]], 0), 0)*Tabelle21213[[#This Row],[Anzahl Studierende ]]</f>
        <v>0</v>
      </c>
      <c r="R12" s="9">
        <f>IF(Tabelle21213[[#This Row],[Verkehrsmittel]]="Flug", IF(AND(Tabelle21213[[#This Row],[Entfernung (km) einfach]]&gt;5000,Tabelle21213[[#This Row],[Entfernung (km) einfach]]&lt;10000),Tabelle21213[[#This Row],[Entfernung (km) gesamt]], 0), 0)*Tabelle21213[[#This Row],[Anzahl Studierende ]]</f>
        <v>0</v>
      </c>
      <c r="S12" s="9">
        <f>IF(Tabelle21213[[#This Row],[Verkehrsmittel]]="Flug", IF(AND(Tabelle21213[[#This Row],[Entfernung (km) einfach]]&gt;10000),Tabelle21213[[#This Row],[Entfernung (km) gesamt]]), 0)*Tabelle21213[[#This Row],[Anzahl Studierende ]]</f>
        <v>0</v>
      </c>
      <c r="T12" s="19">
        <f>IF(Tabelle21213[[#This Row],[Verkehrsmittel]]="Motorrad",Tabelle21213[[#This Row],[Entfernung (km) gesamt]],0)*Tabelle21213[[#This Row],[Anzahl Studierende ]]</f>
        <v>0</v>
      </c>
      <c r="U12" s="19">
        <f>IF(Tabelle21213[[#This Row],[Verkehrsmittel]]="Straßen-, S-, U-Bahn",Tabelle21213[[#This Row],[Entfernung (km) gesamt]],0)*Tabelle21213[[#This Row],[Anzahl Studierende ]]</f>
        <v>0</v>
      </c>
      <c r="V12" s="19">
        <f>IF(Tabelle21213[[#This Row],[Verkehrsmittel]]="Fahrrad",Tabelle21213[[#This Row],[Entfernung (km) gesamt]],0)*Tabelle21213[[#This Row],[Anzahl Studierende ]]</f>
        <v>0</v>
      </c>
    </row>
    <row r="13" spans="1:22" s="8" customFormat="1">
      <c r="A13"/>
      <c r="B13" s="159"/>
      <c r="C13" s="111"/>
      <c r="D13" s="160"/>
      <c r="E13" s="111"/>
      <c r="F13" s="111"/>
      <c r="G13" s="111"/>
      <c r="H13" s="111">
        <f>Tabelle21213[[#This Row],[Entfernung (km) einfach]]*2</f>
        <v>0</v>
      </c>
      <c r="I13" s="111"/>
      <c r="J13" s="140"/>
      <c r="K13" s="9">
        <f>IF(Tabelle21213[[#This Row],[Verkehrsmittel]]="Bus",Tabelle21213[[#This Row],[Entfernung (km) gesamt]],0)*Tabelle21213[[#This Row],[Anzahl Studierende ]]</f>
        <v>0</v>
      </c>
      <c r="L13" s="9">
        <f>IF(Tabelle21213[[#This Row],[Verkehrsmittel]]="Bahn",Tabelle21213[[#This Row],[Anzahl Studierende ]]*Tabelle21213[[#This Row],[Entfernung (km) gesamt]],0)</f>
        <v>0</v>
      </c>
      <c r="M13" s="9">
        <f>IF(Tabelle21213[[#This Row],[Verkehrsmittel]]="PKW",Tabelle21213[[#This Row],[Anzahl Studierende ]]*Tabelle21213[[#This Row],[Entfernung (km) gesamt]],0)</f>
        <v>0</v>
      </c>
      <c r="N13" s="9">
        <f>IF(Tabelle21213[[#This Row],[Verkehrsmittel]]="Flug", IF(AND(Tabelle21213[[#This Row],[Entfernung (km) einfach]]&lt;500),Tabelle21213[[#This Row],[Entfernung (km) gesamt]]), 0)*Tabelle21213[[#This Row],[Anzahl Studierende ]]</f>
        <v>0</v>
      </c>
      <c r="O13" s="9">
        <f>IF(Tabelle21213[[#This Row],[Verkehrsmittel]]="Flug", IF(AND(Tabelle21213[[#This Row],[Entfernung (km) einfach]]&gt;500,Tabelle21213[[#This Row],[Entfernung (km) einfach]]&lt;1000),Tabelle21213[[#This Row],[Entfernung (km) gesamt]], 0), 0)*Tabelle21213[[#This Row],[Anzahl Studierende ]]</f>
        <v>0</v>
      </c>
      <c r="P13" s="9">
        <f>IF(Tabelle21213[[#This Row],[Verkehrsmittel]]="Flug", IF(AND(Tabelle21213[[#This Row],[Entfernung (km) einfach]]&gt;1000,Tabelle21213[[#This Row],[Entfernung (km) einfach]]&lt;2000),Tabelle21213[[#This Row],[Entfernung (km) gesamt]], 0), 0)*Tabelle21213[[#This Row],[Anzahl Studierende ]]</f>
        <v>0</v>
      </c>
      <c r="Q13" s="9">
        <f>IF(Tabelle21213[[#This Row],[Verkehrsmittel]]="Flug", IF(AND(Tabelle21213[[#This Row],[Entfernung (km) einfach]]&gt;2000,Tabelle21213[[#This Row],[Entfernung (km) einfach]]&lt;5000),Tabelle21213[[#This Row],[Entfernung (km) gesamt]], 0), 0)*Tabelle21213[[#This Row],[Anzahl Studierende ]]</f>
        <v>0</v>
      </c>
      <c r="R13" s="9">
        <f>IF(Tabelle21213[[#This Row],[Verkehrsmittel]]="Flug", IF(AND(Tabelle21213[[#This Row],[Entfernung (km) einfach]]&gt;5000,Tabelle21213[[#This Row],[Entfernung (km) einfach]]&lt;10000),Tabelle21213[[#This Row],[Entfernung (km) gesamt]], 0), 0)*Tabelle21213[[#This Row],[Anzahl Studierende ]]</f>
        <v>0</v>
      </c>
      <c r="S13" s="9">
        <f>IF(Tabelle21213[[#This Row],[Verkehrsmittel]]="Flug", IF(AND(Tabelle21213[[#This Row],[Entfernung (km) einfach]]&gt;10000),Tabelle21213[[#This Row],[Entfernung (km) gesamt]]), 0)*Tabelle21213[[#This Row],[Anzahl Studierende ]]</f>
        <v>0</v>
      </c>
      <c r="T13" s="19">
        <f>IF(Tabelle21213[[#This Row],[Verkehrsmittel]]="Motorrad",Tabelle21213[[#This Row],[Entfernung (km) gesamt]],0)*Tabelle21213[[#This Row],[Anzahl Studierende ]]</f>
        <v>0</v>
      </c>
      <c r="U13" s="19">
        <f>IF(Tabelle21213[[#This Row],[Verkehrsmittel]]="Straßen-, S-, U-Bahn",Tabelle21213[[#This Row],[Entfernung (km) gesamt]],0)*Tabelle21213[[#This Row],[Anzahl Studierende ]]</f>
        <v>0</v>
      </c>
      <c r="V13" s="19">
        <f>IF(Tabelle21213[[#This Row],[Verkehrsmittel]]="Fahrrad",Tabelle21213[[#This Row],[Entfernung (km) gesamt]],0)*Tabelle21213[[#This Row],[Anzahl Studierende ]]</f>
        <v>0</v>
      </c>
    </row>
    <row r="14" spans="1:22" s="8" customFormat="1">
      <c r="A14"/>
      <c r="B14" s="159"/>
      <c r="C14" s="111"/>
      <c r="D14" s="160"/>
      <c r="E14" s="111"/>
      <c r="F14" s="111"/>
      <c r="G14" s="111"/>
      <c r="H14" s="111">
        <f>Tabelle21213[[#This Row],[Entfernung (km) einfach]]*2</f>
        <v>0</v>
      </c>
      <c r="I14" s="111"/>
      <c r="J14" s="140"/>
      <c r="K14" s="9">
        <f>IF(Tabelle21213[[#This Row],[Verkehrsmittel]]="Bus",Tabelle21213[[#This Row],[Entfernung (km) gesamt]],0)*Tabelle21213[[#This Row],[Anzahl Studierende ]]</f>
        <v>0</v>
      </c>
      <c r="L14" s="9">
        <f>IF(Tabelle21213[[#This Row],[Verkehrsmittel]]="Bahn",Tabelle21213[[#This Row],[Anzahl Studierende ]]*Tabelle21213[[#This Row],[Entfernung (km) gesamt]],0)</f>
        <v>0</v>
      </c>
      <c r="M14" s="9">
        <f>IF(Tabelle21213[[#This Row],[Verkehrsmittel]]="PKW",Tabelle21213[[#This Row],[Anzahl Studierende ]]*Tabelle21213[[#This Row],[Entfernung (km) gesamt]],0)</f>
        <v>0</v>
      </c>
      <c r="N14" s="9">
        <f>IF(Tabelle21213[[#This Row],[Verkehrsmittel]]="Flug", IF(AND(Tabelle21213[[#This Row],[Entfernung (km) einfach]]&lt;500),Tabelle21213[[#This Row],[Entfernung (km) gesamt]]), 0)*Tabelle21213[[#This Row],[Anzahl Studierende ]]</f>
        <v>0</v>
      </c>
      <c r="O14" s="9">
        <f>IF(Tabelle21213[[#This Row],[Verkehrsmittel]]="Flug", IF(AND(Tabelle21213[[#This Row],[Entfernung (km) einfach]]&gt;500,Tabelle21213[[#This Row],[Entfernung (km) einfach]]&lt;1000),Tabelle21213[[#This Row],[Entfernung (km) gesamt]], 0), 0)*Tabelle21213[[#This Row],[Anzahl Studierende ]]</f>
        <v>0</v>
      </c>
      <c r="P14" s="9">
        <f>IF(Tabelle21213[[#This Row],[Verkehrsmittel]]="Flug", IF(AND(Tabelle21213[[#This Row],[Entfernung (km) einfach]]&gt;1000,Tabelle21213[[#This Row],[Entfernung (km) einfach]]&lt;2000),Tabelle21213[[#This Row],[Entfernung (km) gesamt]], 0), 0)*Tabelle21213[[#This Row],[Anzahl Studierende ]]</f>
        <v>0</v>
      </c>
      <c r="Q14" s="9">
        <f>IF(Tabelle21213[[#This Row],[Verkehrsmittel]]="Flug", IF(AND(Tabelle21213[[#This Row],[Entfernung (km) einfach]]&gt;2000,Tabelle21213[[#This Row],[Entfernung (km) einfach]]&lt;5000),Tabelle21213[[#This Row],[Entfernung (km) gesamt]], 0), 0)*Tabelle21213[[#This Row],[Anzahl Studierende ]]</f>
        <v>0</v>
      </c>
      <c r="R14" s="9">
        <f>IF(Tabelle21213[[#This Row],[Verkehrsmittel]]="Flug", IF(AND(Tabelle21213[[#This Row],[Entfernung (km) einfach]]&gt;5000,Tabelle21213[[#This Row],[Entfernung (km) einfach]]&lt;10000),Tabelle21213[[#This Row],[Entfernung (km) gesamt]], 0), 0)*Tabelle21213[[#This Row],[Anzahl Studierende ]]</f>
        <v>0</v>
      </c>
      <c r="S14" s="9">
        <f>IF(Tabelle21213[[#This Row],[Verkehrsmittel]]="Flug", IF(AND(Tabelle21213[[#This Row],[Entfernung (km) einfach]]&gt;10000),Tabelle21213[[#This Row],[Entfernung (km) gesamt]]), 0)*Tabelle21213[[#This Row],[Anzahl Studierende ]]</f>
        <v>0</v>
      </c>
      <c r="T14" s="19">
        <f>IF(Tabelle21213[[#This Row],[Verkehrsmittel]]="Motorrad",Tabelle21213[[#This Row],[Entfernung (km) gesamt]],0)*Tabelle21213[[#This Row],[Anzahl Studierende ]]</f>
        <v>0</v>
      </c>
      <c r="U14" s="19">
        <f>IF(Tabelle21213[[#This Row],[Verkehrsmittel]]="Straßen-, S-, U-Bahn",Tabelle21213[[#This Row],[Entfernung (km) gesamt]],0)*Tabelle21213[[#This Row],[Anzahl Studierende ]]</f>
        <v>0</v>
      </c>
      <c r="V14" s="19">
        <f>IF(Tabelle21213[[#This Row],[Verkehrsmittel]]="Fahrrad",Tabelle21213[[#This Row],[Entfernung (km) gesamt]],0)*Tabelle21213[[#This Row],[Anzahl Studierende ]]</f>
        <v>0</v>
      </c>
    </row>
    <row r="15" spans="1:22" s="8" customFormat="1">
      <c r="A15"/>
      <c r="B15" s="159"/>
      <c r="C15" s="111"/>
      <c r="D15" s="160"/>
      <c r="E15" s="111"/>
      <c r="F15" s="111"/>
      <c r="G15" s="111"/>
      <c r="H15" s="111">
        <f>Tabelle21213[[#This Row],[Entfernung (km) einfach]]*2</f>
        <v>0</v>
      </c>
      <c r="I15" s="111"/>
      <c r="J15" s="140"/>
      <c r="K15" s="9">
        <f>IF(Tabelle21213[[#This Row],[Verkehrsmittel]]="Bus",Tabelle21213[[#This Row],[Entfernung (km) gesamt]],0)*Tabelle21213[[#This Row],[Anzahl Studierende ]]</f>
        <v>0</v>
      </c>
      <c r="L15" s="9">
        <f>IF(Tabelle21213[[#This Row],[Verkehrsmittel]]="Bahn",Tabelle21213[[#This Row],[Anzahl Studierende ]]*Tabelle21213[[#This Row],[Entfernung (km) gesamt]],0)</f>
        <v>0</v>
      </c>
      <c r="M15" s="9">
        <f>IF(Tabelle21213[[#This Row],[Verkehrsmittel]]="PKW",Tabelle21213[[#This Row],[Anzahl Studierende ]]*Tabelle21213[[#This Row],[Entfernung (km) gesamt]],0)</f>
        <v>0</v>
      </c>
      <c r="N15" s="9">
        <f>IF(Tabelle21213[[#This Row],[Verkehrsmittel]]="Flug", IF(AND(Tabelle21213[[#This Row],[Entfernung (km) einfach]]&lt;500),Tabelle21213[[#This Row],[Entfernung (km) gesamt]]), 0)*Tabelle21213[[#This Row],[Anzahl Studierende ]]</f>
        <v>0</v>
      </c>
      <c r="O15" s="9">
        <f>IF(Tabelle21213[[#This Row],[Verkehrsmittel]]="Flug", IF(AND(Tabelle21213[[#This Row],[Entfernung (km) einfach]]&gt;500,Tabelle21213[[#This Row],[Entfernung (km) einfach]]&lt;1000),Tabelle21213[[#This Row],[Entfernung (km) gesamt]], 0), 0)*Tabelle21213[[#This Row],[Anzahl Studierende ]]</f>
        <v>0</v>
      </c>
      <c r="P15" s="9">
        <f>IF(Tabelle21213[[#This Row],[Verkehrsmittel]]="Flug", IF(AND(Tabelle21213[[#This Row],[Entfernung (km) einfach]]&gt;1000,Tabelle21213[[#This Row],[Entfernung (km) einfach]]&lt;2000),Tabelle21213[[#This Row],[Entfernung (km) gesamt]], 0), 0)*Tabelle21213[[#This Row],[Anzahl Studierende ]]</f>
        <v>0</v>
      </c>
      <c r="Q15" s="9">
        <f>IF(Tabelle21213[[#This Row],[Verkehrsmittel]]="Flug", IF(AND(Tabelle21213[[#This Row],[Entfernung (km) einfach]]&gt;2000,Tabelle21213[[#This Row],[Entfernung (km) einfach]]&lt;5000),Tabelle21213[[#This Row],[Entfernung (km) gesamt]], 0), 0)*Tabelle21213[[#This Row],[Anzahl Studierende ]]</f>
        <v>0</v>
      </c>
      <c r="R15" s="9">
        <f>IF(Tabelle21213[[#This Row],[Verkehrsmittel]]="Flug", IF(AND(Tabelle21213[[#This Row],[Entfernung (km) einfach]]&gt;5000,Tabelle21213[[#This Row],[Entfernung (km) einfach]]&lt;10000),Tabelle21213[[#This Row],[Entfernung (km) gesamt]], 0), 0)*Tabelle21213[[#This Row],[Anzahl Studierende ]]</f>
        <v>0</v>
      </c>
      <c r="S15" s="9">
        <f>IF(Tabelle21213[[#This Row],[Verkehrsmittel]]="Flug", IF(AND(Tabelle21213[[#This Row],[Entfernung (km) einfach]]&gt;10000),Tabelle21213[[#This Row],[Entfernung (km) gesamt]]), 0)*Tabelle21213[[#This Row],[Anzahl Studierende ]]</f>
        <v>0</v>
      </c>
      <c r="T15" s="19">
        <f>IF(Tabelle21213[[#This Row],[Verkehrsmittel]]="Motorrad",Tabelle21213[[#This Row],[Entfernung (km) gesamt]],0)*Tabelle21213[[#This Row],[Anzahl Studierende ]]</f>
        <v>0</v>
      </c>
      <c r="U15" s="19">
        <f>IF(Tabelle21213[[#This Row],[Verkehrsmittel]]="Straßen-, S-, U-Bahn",Tabelle21213[[#This Row],[Entfernung (km) gesamt]],0)*Tabelle21213[[#This Row],[Anzahl Studierende ]]</f>
        <v>0</v>
      </c>
      <c r="V15" s="19">
        <f>IF(Tabelle21213[[#This Row],[Verkehrsmittel]]="Fahrrad",Tabelle21213[[#This Row],[Entfernung (km) gesamt]],0)*Tabelle21213[[#This Row],[Anzahl Studierende ]]</f>
        <v>0</v>
      </c>
    </row>
    <row r="16" spans="1:22" s="8" customFormat="1" ht="15.6">
      <c r="A16"/>
      <c r="B16" s="159"/>
      <c r="C16" s="111"/>
      <c r="D16" s="160"/>
      <c r="E16" s="111"/>
      <c r="F16" s="111"/>
      <c r="G16" s="111"/>
      <c r="H16" s="111">
        <f>Tabelle21213[[#This Row],[Entfernung (km) einfach]]*2</f>
        <v>0</v>
      </c>
      <c r="I16" s="111"/>
      <c r="J16" s="140"/>
      <c r="K16" s="12">
        <f>IF(Tabelle21213[[#This Row],[Verkehrsmittel]]="Bus",Tabelle21213[[#This Row],[Entfernung (km) gesamt]],0)*Tabelle21213[[#This Row],[Anzahl Studierende ]]</f>
        <v>0</v>
      </c>
      <c r="L16" s="11">
        <f>IF(Tabelle21213[[#This Row],[Verkehrsmittel]]="Bahn",Tabelle21213[[#This Row],[Anzahl Studierende ]]*Tabelle21213[[#This Row],[Entfernung (km) gesamt]],0)</f>
        <v>0</v>
      </c>
      <c r="M16" s="9">
        <f>IF(Tabelle21213[[#This Row],[Verkehrsmittel]]="PKW",Tabelle21213[[#This Row],[Anzahl Studierende ]]*Tabelle21213[[#This Row],[Entfernung (km) gesamt]],0)</f>
        <v>0</v>
      </c>
      <c r="N16" s="9">
        <f>IF(Tabelle21213[[#This Row],[Verkehrsmittel]]="Flug", IF(AND(Tabelle21213[[#This Row],[Entfernung (km) einfach]]&lt;500),Tabelle21213[[#This Row],[Entfernung (km) gesamt]]), 0)*Tabelle21213[[#This Row],[Anzahl Studierende ]]</f>
        <v>0</v>
      </c>
      <c r="O16" s="9">
        <f>IF(Tabelle21213[[#This Row],[Verkehrsmittel]]="Flug", IF(AND(Tabelle21213[[#This Row],[Entfernung (km) einfach]]&gt;500,Tabelle21213[[#This Row],[Entfernung (km) einfach]]&lt;1000),Tabelle21213[[#This Row],[Entfernung (km) gesamt]], 0), 0)*Tabelle21213[[#This Row],[Anzahl Studierende ]]</f>
        <v>0</v>
      </c>
      <c r="P16" s="9">
        <f>IF(Tabelle21213[[#This Row],[Verkehrsmittel]]="Flug", IF(AND(Tabelle21213[[#This Row],[Entfernung (km) einfach]]&gt;1000,Tabelle21213[[#This Row],[Entfernung (km) einfach]]&lt;2000),Tabelle21213[[#This Row],[Entfernung (km) gesamt]], 0), 0)*Tabelle21213[[#This Row],[Anzahl Studierende ]]</f>
        <v>0</v>
      </c>
      <c r="Q16" s="9">
        <f>IF(Tabelle21213[[#This Row],[Verkehrsmittel]]="Flug", IF(AND(Tabelle21213[[#This Row],[Entfernung (km) einfach]]&gt;2000,Tabelle21213[[#This Row],[Entfernung (km) einfach]]&lt;5000),Tabelle21213[[#This Row],[Entfernung (km) gesamt]], 0), 0)*Tabelle21213[[#This Row],[Anzahl Studierende ]]</f>
        <v>0</v>
      </c>
      <c r="R16" s="9">
        <f>IF(Tabelle21213[[#This Row],[Verkehrsmittel]]="Flug", IF(AND(Tabelle21213[[#This Row],[Entfernung (km) einfach]]&gt;5000,Tabelle21213[[#This Row],[Entfernung (km) einfach]]&lt;10000),Tabelle21213[[#This Row],[Entfernung (km) gesamt]], 0), 0)*Tabelle21213[[#This Row],[Anzahl Studierende ]]</f>
        <v>0</v>
      </c>
      <c r="S16" s="9">
        <f>IF(Tabelle21213[[#This Row],[Verkehrsmittel]]="Flug", IF(AND(Tabelle21213[[#This Row],[Entfernung (km) einfach]]&gt;10000),Tabelle21213[[#This Row],[Entfernung (km) gesamt]]), 0)*Tabelle21213[[#This Row],[Anzahl Studierende ]]</f>
        <v>0</v>
      </c>
      <c r="T16" s="19">
        <f>IF(Tabelle21213[[#This Row],[Verkehrsmittel]]="Motorrad",Tabelle21213[[#This Row],[Entfernung (km) gesamt]],0)*Tabelle21213[[#This Row],[Anzahl Studierende ]]</f>
        <v>0</v>
      </c>
      <c r="U16" s="19">
        <f>IF(Tabelle21213[[#This Row],[Verkehrsmittel]]="Straßen-, S-, U-Bahn",Tabelle21213[[#This Row],[Entfernung (km) gesamt]],0)*Tabelle21213[[#This Row],[Anzahl Studierende ]]</f>
        <v>0</v>
      </c>
      <c r="V16" s="19">
        <f>IF(Tabelle21213[[#This Row],[Verkehrsmittel]]="Fahrrad",Tabelle21213[[#This Row],[Entfernung (km) gesamt]],0)*Tabelle21213[[#This Row],[Anzahl Studierende ]]</f>
        <v>0</v>
      </c>
    </row>
    <row r="17" spans="1:22" s="8" customFormat="1">
      <c r="A17"/>
      <c r="B17" s="159"/>
      <c r="C17" s="111"/>
      <c r="D17" s="160"/>
      <c r="E17" s="111"/>
      <c r="F17" s="111"/>
      <c r="G17" s="111"/>
      <c r="H17" s="111">
        <f>Tabelle21213[[#This Row],[Entfernung (km) einfach]]*2</f>
        <v>0</v>
      </c>
      <c r="I17" s="111"/>
      <c r="J17" s="140"/>
      <c r="K17" s="9">
        <f>IF(Tabelle21213[[#This Row],[Verkehrsmittel]]="Bus",Tabelle21213[[#This Row],[Entfernung (km) gesamt]],0)*Tabelle21213[[#This Row],[Anzahl Studierende ]]</f>
        <v>0</v>
      </c>
      <c r="L17" s="9">
        <f>IF(Tabelle21213[[#This Row],[Verkehrsmittel]]="Bahn",Tabelle21213[[#This Row],[Anzahl Studierende ]]*Tabelle21213[[#This Row],[Entfernung (km) gesamt]],0)</f>
        <v>0</v>
      </c>
      <c r="M17" s="9">
        <f>IF(Tabelle21213[[#This Row],[Verkehrsmittel]]="PKW",Tabelle21213[[#This Row],[Anzahl Studierende ]]*Tabelle21213[[#This Row],[Entfernung (km) gesamt]],0)</f>
        <v>0</v>
      </c>
      <c r="N17" s="9">
        <f>IF(Tabelle21213[[#This Row],[Verkehrsmittel]]="Flug", IF(AND(Tabelle21213[[#This Row],[Entfernung (km) einfach]]&lt;500),Tabelle21213[[#This Row],[Entfernung (km) gesamt]]), 0)*Tabelle21213[[#This Row],[Anzahl Studierende ]]</f>
        <v>0</v>
      </c>
      <c r="O17" s="9">
        <f>IF(Tabelle21213[[#This Row],[Verkehrsmittel]]="Flug", IF(AND(Tabelle21213[[#This Row],[Entfernung (km) einfach]]&gt;500,Tabelle21213[[#This Row],[Entfernung (km) einfach]]&lt;1000),Tabelle21213[[#This Row],[Entfernung (km) gesamt]], 0), 0)*Tabelle21213[[#This Row],[Anzahl Studierende ]]</f>
        <v>0</v>
      </c>
      <c r="P17" s="9">
        <f>IF(Tabelle21213[[#This Row],[Verkehrsmittel]]="Flug", IF(AND(Tabelle21213[[#This Row],[Entfernung (km) einfach]]&gt;1000,Tabelle21213[[#This Row],[Entfernung (km) einfach]]&lt;2000),Tabelle21213[[#This Row],[Entfernung (km) gesamt]], 0), 0)*Tabelle21213[[#This Row],[Anzahl Studierende ]]</f>
        <v>0</v>
      </c>
      <c r="Q17" s="9">
        <f>IF(Tabelle21213[[#This Row],[Verkehrsmittel]]="Flug", IF(AND(Tabelle21213[[#This Row],[Entfernung (km) einfach]]&gt;2000,Tabelle21213[[#This Row],[Entfernung (km) einfach]]&lt;5000),Tabelle21213[[#This Row],[Entfernung (km) gesamt]], 0), 0)*Tabelle21213[[#This Row],[Anzahl Studierende ]]</f>
        <v>0</v>
      </c>
      <c r="R17" s="9">
        <f>IF(Tabelle21213[[#This Row],[Verkehrsmittel]]="Flug", IF(AND(Tabelle21213[[#This Row],[Entfernung (km) einfach]]&gt;5000,Tabelle21213[[#This Row],[Entfernung (km) einfach]]&lt;10000),Tabelle21213[[#This Row],[Entfernung (km) gesamt]], 0), 0)*Tabelle21213[[#This Row],[Anzahl Studierende ]]</f>
        <v>0</v>
      </c>
      <c r="S17" s="9">
        <f>IF(Tabelle21213[[#This Row],[Verkehrsmittel]]="Flug", IF(AND(Tabelle21213[[#This Row],[Entfernung (km) einfach]]&gt;10000),Tabelle21213[[#This Row],[Entfernung (km) gesamt]]), 0)*Tabelle21213[[#This Row],[Anzahl Studierende ]]</f>
        <v>0</v>
      </c>
      <c r="T17" s="19">
        <f>IF(Tabelle21213[[#This Row],[Verkehrsmittel]]="Motorrad",Tabelle21213[[#This Row],[Entfernung (km) gesamt]],0)*Tabelle21213[[#This Row],[Anzahl Studierende ]]</f>
        <v>0</v>
      </c>
      <c r="U17" s="19">
        <f>IF(Tabelle21213[[#This Row],[Verkehrsmittel]]="Straßen-, S-, U-Bahn",Tabelle21213[[#This Row],[Entfernung (km) gesamt]],0)*Tabelle21213[[#This Row],[Anzahl Studierende ]]</f>
        <v>0</v>
      </c>
      <c r="V17" s="19">
        <f>IF(Tabelle21213[[#This Row],[Verkehrsmittel]]="Fahrrad",Tabelle21213[[#This Row],[Entfernung (km) gesamt]],0)*Tabelle21213[[#This Row],[Anzahl Studierende ]]</f>
        <v>0</v>
      </c>
    </row>
    <row r="18" spans="1:22" s="8" customFormat="1">
      <c r="A18"/>
      <c r="B18" s="159"/>
      <c r="C18" s="111"/>
      <c r="D18" s="160"/>
      <c r="E18" s="111"/>
      <c r="F18" s="111"/>
      <c r="G18" s="111"/>
      <c r="H18" s="111">
        <f>Tabelle21213[[#This Row],[Entfernung (km) einfach]]*2</f>
        <v>0</v>
      </c>
      <c r="I18" s="111"/>
      <c r="J18" s="140"/>
      <c r="K18" s="9">
        <f>IF(Tabelle21213[[#This Row],[Verkehrsmittel]]="Bus",Tabelle21213[[#This Row],[Entfernung (km) gesamt]],0)*Tabelle21213[[#This Row],[Anzahl Studierende ]]</f>
        <v>0</v>
      </c>
      <c r="L18" s="9">
        <f>IF(Tabelle21213[[#This Row],[Verkehrsmittel]]="Bahn",Tabelle21213[[#This Row],[Anzahl Studierende ]]*Tabelle21213[[#This Row],[Entfernung (km) gesamt]],0)</f>
        <v>0</v>
      </c>
      <c r="M18" s="9">
        <f>IF(Tabelle21213[[#This Row],[Verkehrsmittel]]="PKW",Tabelle21213[[#This Row],[Anzahl Studierende ]]*Tabelle21213[[#This Row],[Entfernung (km) gesamt]],0)</f>
        <v>0</v>
      </c>
      <c r="N18" s="9">
        <f>IF(Tabelle21213[[#This Row],[Verkehrsmittel]]="Flug", IF(AND(Tabelle21213[[#This Row],[Entfernung (km) einfach]]&lt;500),Tabelle21213[[#This Row],[Entfernung (km) gesamt]]), 0)*Tabelle21213[[#This Row],[Anzahl Studierende ]]</f>
        <v>0</v>
      </c>
      <c r="O18" s="9">
        <f>IF(Tabelle21213[[#This Row],[Verkehrsmittel]]="Flug", IF(AND(Tabelle21213[[#This Row],[Entfernung (km) einfach]]&gt;500,Tabelle21213[[#This Row],[Entfernung (km) einfach]]&lt;1000),Tabelle21213[[#This Row],[Entfernung (km) gesamt]], 0), 0)*Tabelle21213[[#This Row],[Anzahl Studierende ]]</f>
        <v>0</v>
      </c>
      <c r="P18" s="9">
        <f>IF(Tabelle21213[[#This Row],[Verkehrsmittel]]="Flug", IF(AND(Tabelle21213[[#This Row],[Entfernung (km) einfach]]&gt;1000,Tabelle21213[[#This Row],[Entfernung (km) einfach]]&lt;2000),Tabelle21213[[#This Row],[Entfernung (km) gesamt]], 0), 0)*Tabelle21213[[#This Row],[Anzahl Studierende ]]</f>
        <v>0</v>
      </c>
      <c r="Q18" s="9">
        <f>IF(Tabelle21213[[#This Row],[Verkehrsmittel]]="Flug", IF(AND(Tabelle21213[[#This Row],[Entfernung (km) einfach]]&gt;2000,Tabelle21213[[#This Row],[Entfernung (km) einfach]]&lt;5000),Tabelle21213[[#This Row],[Entfernung (km) gesamt]], 0), 0)*Tabelle21213[[#This Row],[Anzahl Studierende ]]</f>
        <v>0</v>
      </c>
      <c r="R18" s="9">
        <f>IF(Tabelle21213[[#This Row],[Verkehrsmittel]]="Flug", IF(AND(Tabelle21213[[#This Row],[Entfernung (km) einfach]]&gt;5000,Tabelle21213[[#This Row],[Entfernung (km) einfach]]&lt;10000),Tabelle21213[[#This Row],[Entfernung (km) gesamt]], 0), 0)*Tabelle21213[[#This Row],[Anzahl Studierende ]]</f>
        <v>0</v>
      </c>
      <c r="S18" s="9">
        <f>IF(Tabelle21213[[#This Row],[Verkehrsmittel]]="Flug", IF(AND(Tabelle21213[[#This Row],[Entfernung (km) einfach]]&gt;10000),Tabelle21213[[#This Row],[Entfernung (km) gesamt]]), 0)*Tabelle21213[[#This Row],[Anzahl Studierende ]]</f>
        <v>0</v>
      </c>
      <c r="T18" s="19">
        <f>IF(Tabelle21213[[#This Row],[Verkehrsmittel]]="Motorrad",Tabelle21213[[#This Row],[Entfernung (km) gesamt]],0)*Tabelle21213[[#This Row],[Anzahl Studierende ]]</f>
        <v>0</v>
      </c>
      <c r="U18" s="19">
        <f>IF(Tabelle21213[[#This Row],[Verkehrsmittel]]="Straßen-, S-, U-Bahn",Tabelle21213[[#This Row],[Entfernung (km) gesamt]],0)*Tabelle21213[[#This Row],[Anzahl Studierende ]]</f>
        <v>0</v>
      </c>
      <c r="V18" s="19">
        <f>IF(Tabelle21213[[#This Row],[Verkehrsmittel]]="Fahrrad",Tabelle21213[[#This Row],[Entfernung (km) gesamt]],0)*Tabelle21213[[#This Row],[Anzahl Studierende ]]</f>
        <v>0</v>
      </c>
    </row>
    <row r="19" spans="1:22" s="8" customFormat="1">
      <c r="A19"/>
      <c r="B19" s="159"/>
      <c r="C19" s="111"/>
      <c r="D19" s="160"/>
      <c r="E19" s="111"/>
      <c r="F19" s="111"/>
      <c r="G19" s="111"/>
      <c r="H19" s="111">
        <f>Tabelle21213[[#This Row],[Entfernung (km) einfach]]*2</f>
        <v>0</v>
      </c>
      <c r="I19" s="111"/>
      <c r="J19" s="140"/>
      <c r="K19" s="9">
        <f>IF(Tabelle21213[[#This Row],[Verkehrsmittel]]="Bus",Tabelle21213[[#This Row],[Entfernung (km) gesamt]],0)*Tabelle21213[[#This Row],[Anzahl Studierende ]]</f>
        <v>0</v>
      </c>
      <c r="L19" s="9">
        <f>IF(Tabelle21213[[#This Row],[Verkehrsmittel]]="Bahn",Tabelle21213[[#This Row],[Anzahl Studierende ]]*Tabelle21213[[#This Row],[Entfernung (km) gesamt]],0)</f>
        <v>0</v>
      </c>
      <c r="M19" s="9">
        <f>IF(Tabelle21213[[#This Row],[Verkehrsmittel]]="PKW",Tabelle21213[[#This Row],[Anzahl Studierende ]]*Tabelle21213[[#This Row],[Entfernung (km) gesamt]],0)</f>
        <v>0</v>
      </c>
      <c r="N19" s="9">
        <f>IF(Tabelle21213[[#This Row],[Verkehrsmittel]]="Flug", IF(AND(Tabelle21213[[#This Row],[Entfernung (km) einfach]]&lt;500),Tabelle21213[[#This Row],[Entfernung (km) gesamt]]), 0)*Tabelle21213[[#This Row],[Anzahl Studierende ]]</f>
        <v>0</v>
      </c>
      <c r="O19" s="9">
        <f>IF(Tabelle21213[[#This Row],[Verkehrsmittel]]="Flug", IF(AND(Tabelle21213[[#This Row],[Entfernung (km) einfach]]&gt;500,Tabelle21213[[#This Row],[Entfernung (km) einfach]]&lt;1000),Tabelle21213[[#This Row],[Entfernung (km) gesamt]], 0), 0)*Tabelle21213[[#This Row],[Anzahl Studierende ]]</f>
        <v>0</v>
      </c>
      <c r="P19" s="9">
        <f>IF(Tabelle21213[[#This Row],[Verkehrsmittel]]="Flug", IF(AND(Tabelle21213[[#This Row],[Entfernung (km) einfach]]&gt;1000,Tabelle21213[[#This Row],[Entfernung (km) einfach]]&lt;2000),Tabelle21213[[#This Row],[Entfernung (km) gesamt]], 0), 0)*Tabelle21213[[#This Row],[Anzahl Studierende ]]</f>
        <v>0</v>
      </c>
      <c r="Q19" s="9">
        <f>IF(Tabelle21213[[#This Row],[Verkehrsmittel]]="Flug", IF(AND(Tabelle21213[[#This Row],[Entfernung (km) einfach]]&gt;2000,Tabelle21213[[#This Row],[Entfernung (km) einfach]]&lt;5000),Tabelle21213[[#This Row],[Entfernung (km) gesamt]], 0), 0)*Tabelle21213[[#This Row],[Anzahl Studierende ]]</f>
        <v>0</v>
      </c>
      <c r="R19" s="9">
        <f>IF(Tabelle21213[[#This Row],[Verkehrsmittel]]="Flug", IF(AND(Tabelle21213[[#This Row],[Entfernung (km) einfach]]&gt;5000,Tabelle21213[[#This Row],[Entfernung (km) einfach]]&lt;10000),Tabelle21213[[#This Row],[Entfernung (km) gesamt]], 0), 0)*Tabelle21213[[#This Row],[Anzahl Studierende ]]</f>
        <v>0</v>
      </c>
      <c r="S19" s="9">
        <f>IF(Tabelle21213[[#This Row],[Verkehrsmittel]]="Flug", IF(AND(Tabelle21213[[#This Row],[Entfernung (km) einfach]]&gt;10000),Tabelle21213[[#This Row],[Entfernung (km) gesamt]]), 0)*Tabelle21213[[#This Row],[Anzahl Studierende ]]</f>
        <v>0</v>
      </c>
      <c r="T19" s="19">
        <f>IF(Tabelle21213[[#This Row],[Verkehrsmittel]]="Motorrad",Tabelle21213[[#This Row],[Entfernung (km) gesamt]],0)*Tabelle21213[[#This Row],[Anzahl Studierende ]]</f>
        <v>0</v>
      </c>
      <c r="U19" s="19">
        <f>IF(Tabelle21213[[#This Row],[Verkehrsmittel]]="Straßen-, S-, U-Bahn",Tabelle21213[[#This Row],[Entfernung (km) gesamt]],0)*Tabelle21213[[#This Row],[Anzahl Studierende ]]</f>
        <v>0</v>
      </c>
      <c r="V19" s="19">
        <f>IF(Tabelle21213[[#This Row],[Verkehrsmittel]]="Fahrrad",Tabelle21213[[#This Row],[Entfernung (km) gesamt]],0)*Tabelle21213[[#This Row],[Anzahl Studierende ]]</f>
        <v>0</v>
      </c>
    </row>
    <row r="20" spans="1:22" s="8" customFormat="1">
      <c r="A20"/>
      <c r="B20" s="138"/>
      <c r="C20" s="139"/>
      <c r="D20" s="160"/>
      <c r="E20" s="111"/>
      <c r="F20" s="111"/>
      <c r="G20" s="111"/>
      <c r="H20" s="111">
        <f>Tabelle21213[[#This Row],[Entfernung (km) einfach]]*2</f>
        <v>0</v>
      </c>
      <c r="I20" s="111"/>
      <c r="J20" s="140"/>
      <c r="K20" s="9">
        <f>IF(Tabelle21213[[#This Row],[Verkehrsmittel]]="Bus",Tabelle21213[[#This Row],[Entfernung (km) gesamt]],0)*Tabelle21213[[#This Row],[Anzahl Studierende ]]</f>
        <v>0</v>
      </c>
      <c r="L20" s="9">
        <f>IF(Tabelle21213[[#This Row],[Verkehrsmittel]]="Bahn",Tabelle21213[[#This Row],[Anzahl Studierende ]]*Tabelle21213[[#This Row],[Entfernung (km) gesamt]],0)</f>
        <v>0</v>
      </c>
      <c r="M20" s="9">
        <f>IF(Tabelle21213[[#This Row],[Verkehrsmittel]]="PKW",Tabelle21213[[#This Row],[Anzahl Studierende ]]*Tabelle21213[[#This Row],[Entfernung (km) gesamt]],0)</f>
        <v>0</v>
      </c>
      <c r="N20" s="9">
        <f>IF(Tabelle21213[[#This Row],[Verkehrsmittel]]="Flug", IF(AND(Tabelle21213[[#This Row],[Entfernung (km) einfach]]&lt;500),Tabelle21213[[#This Row],[Entfernung (km) gesamt]]), 0)*Tabelle21213[[#This Row],[Anzahl Studierende ]]</f>
        <v>0</v>
      </c>
      <c r="O20" s="9">
        <f>IF(Tabelle21213[[#This Row],[Verkehrsmittel]]="Flug", IF(AND(Tabelle21213[[#This Row],[Entfernung (km) einfach]]&gt;500,Tabelle21213[[#This Row],[Entfernung (km) einfach]]&lt;1000),Tabelle21213[[#This Row],[Entfernung (km) gesamt]], 0), 0)*Tabelle21213[[#This Row],[Anzahl Studierende ]]</f>
        <v>0</v>
      </c>
      <c r="P20" s="9">
        <f>IF(Tabelle21213[[#This Row],[Verkehrsmittel]]="Flug", IF(AND(Tabelle21213[[#This Row],[Entfernung (km) einfach]]&gt;1000,Tabelle21213[[#This Row],[Entfernung (km) einfach]]&lt;2000),Tabelle21213[[#This Row],[Entfernung (km) gesamt]], 0), 0)*Tabelle21213[[#This Row],[Anzahl Studierende ]]</f>
        <v>0</v>
      </c>
      <c r="Q20" s="9">
        <f>IF(Tabelle21213[[#This Row],[Verkehrsmittel]]="Flug", IF(AND(Tabelle21213[[#This Row],[Entfernung (km) einfach]]&gt;2000,Tabelle21213[[#This Row],[Entfernung (km) einfach]]&lt;5000),Tabelle21213[[#This Row],[Entfernung (km) gesamt]], 0), 0)*Tabelle21213[[#This Row],[Anzahl Studierende ]]</f>
        <v>0</v>
      </c>
      <c r="R20" s="9">
        <f>IF(Tabelle21213[[#This Row],[Verkehrsmittel]]="Flug", IF(AND(Tabelle21213[[#This Row],[Entfernung (km) einfach]]&gt;5000,Tabelle21213[[#This Row],[Entfernung (km) einfach]]&lt;10000),Tabelle21213[[#This Row],[Entfernung (km) gesamt]], 0), 0)*Tabelle21213[[#This Row],[Anzahl Studierende ]]</f>
        <v>0</v>
      </c>
      <c r="S20" s="9">
        <f>IF(Tabelle21213[[#This Row],[Verkehrsmittel]]="Flug", IF(AND(Tabelle21213[[#This Row],[Entfernung (km) einfach]]&gt;10000),Tabelle21213[[#This Row],[Entfernung (km) gesamt]]), 0)*Tabelle21213[[#This Row],[Anzahl Studierende ]]</f>
        <v>0</v>
      </c>
      <c r="T20" s="19">
        <f>IF(Tabelle21213[[#This Row],[Verkehrsmittel]]="Motorrad",Tabelle21213[[#This Row],[Entfernung (km) gesamt]],0)*Tabelle21213[[#This Row],[Anzahl Studierende ]]</f>
        <v>0</v>
      </c>
      <c r="U20" s="19">
        <f>IF(Tabelle21213[[#This Row],[Verkehrsmittel]]="Straßen-, S-, U-Bahn",Tabelle21213[[#This Row],[Entfernung (km) gesamt]],0)*Tabelle21213[[#This Row],[Anzahl Studierende ]]</f>
        <v>0</v>
      </c>
      <c r="V20" s="19">
        <f>IF(Tabelle21213[[#This Row],[Verkehrsmittel]]="Fahrrad",Tabelle21213[[#This Row],[Entfernung (km) gesamt]],0)*Tabelle21213[[#This Row],[Anzahl Studierende ]]</f>
        <v>0</v>
      </c>
    </row>
    <row r="21" spans="1:22" s="8" customFormat="1">
      <c r="A21"/>
      <c r="B21" s="138"/>
      <c r="C21" s="139"/>
      <c r="D21" s="160"/>
      <c r="E21" s="111"/>
      <c r="F21" s="111"/>
      <c r="G21" s="111"/>
      <c r="H21" s="111">
        <f>Tabelle21213[[#This Row],[Entfernung (km) einfach]]*2</f>
        <v>0</v>
      </c>
      <c r="I21" s="111"/>
      <c r="J21" s="140"/>
      <c r="K21" s="9">
        <f>IF(Tabelle21213[[#This Row],[Verkehrsmittel]]="Bus",Tabelle21213[[#This Row],[Entfernung (km) gesamt]],0)*Tabelle21213[[#This Row],[Anzahl Studierende ]]</f>
        <v>0</v>
      </c>
      <c r="L21" s="9">
        <f>IF(Tabelle21213[[#This Row],[Verkehrsmittel]]="Bahn",Tabelle21213[[#This Row],[Anzahl Studierende ]]*Tabelle21213[[#This Row],[Entfernung (km) gesamt]],0)</f>
        <v>0</v>
      </c>
      <c r="M21" s="9">
        <f>IF(Tabelle21213[[#This Row],[Verkehrsmittel]]="PKW",Tabelle21213[[#This Row],[Anzahl Studierende ]]*Tabelle21213[[#This Row],[Entfernung (km) gesamt]],0)</f>
        <v>0</v>
      </c>
      <c r="N21" s="9">
        <f>IF(Tabelle21213[[#This Row],[Verkehrsmittel]]="Flug", IF(AND(Tabelle21213[[#This Row],[Entfernung (km) einfach]]&lt;500),Tabelle21213[[#This Row],[Entfernung (km) gesamt]]), 0)*Tabelle21213[[#This Row],[Anzahl Studierende ]]</f>
        <v>0</v>
      </c>
      <c r="O21" s="9">
        <f>IF(Tabelle21213[[#This Row],[Verkehrsmittel]]="Flug", IF(AND(Tabelle21213[[#This Row],[Entfernung (km) einfach]]&gt;500,Tabelle21213[[#This Row],[Entfernung (km) einfach]]&lt;1000),Tabelle21213[[#This Row],[Entfernung (km) gesamt]], 0), 0)*Tabelle21213[[#This Row],[Anzahl Studierende ]]</f>
        <v>0</v>
      </c>
      <c r="P21" s="9">
        <f>IF(Tabelle21213[[#This Row],[Verkehrsmittel]]="Flug", IF(AND(Tabelle21213[[#This Row],[Entfernung (km) einfach]]&gt;1000,Tabelle21213[[#This Row],[Entfernung (km) einfach]]&lt;2000),Tabelle21213[[#This Row],[Entfernung (km) gesamt]], 0), 0)*Tabelle21213[[#This Row],[Anzahl Studierende ]]</f>
        <v>0</v>
      </c>
      <c r="Q21" s="9">
        <f>IF(Tabelle21213[[#This Row],[Verkehrsmittel]]="Flug", IF(AND(Tabelle21213[[#This Row],[Entfernung (km) einfach]]&gt;2000,Tabelle21213[[#This Row],[Entfernung (km) einfach]]&lt;5000),Tabelle21213[[#This Row],[Entfernung (km) gesamt]], 0), 0)*Tabelle21213[[#This Row],[Anzahl Studierende ]]</f>
        <v>0</v>
      </c>
      <c r="R21" s="9">
        <f>IF(Tabelle21213[[#This Row],[Verkehrsmittel]]="Flug", IF(AND(Tabelle21213[[#This Row],[Entfernung (km) einfach]]&gt;5000,Tabelle21213[[#This Row],[Entfernung (km) einfach]]&lt;10000),Tabelle21213[[#This Row],[Entfernung (km) gesamt]], 0), 0)*Tabelle21213[[#This Row],[Anzahl Studierende ]]</f>
        <v>0</v>
      </c>
      <c r="S21" s="9">
        <f>IF(Tabelle21213[[#This Row],[Verkehrsmittel]]="Flug", IF(AND(Tabelle21213[[#This Row],[Entfernung (km) einfach]]&gt;10000),Tabelle21213[[#This Row],[Entfernung (km) gesamt]]), 0)*Tabelle21213[[#This Row],[Anzahl Studierende ]]</f>
        <v>0</v>
      </c>
      <c r="T21" s="19">
        <f>IF(Tabelle21213[[#This Row],[Verkehrsmittel]]="Motorrad",Tabelle21213[[#This Row],[Entfernung (km) gesamt]],0)*Tabelle21213[[#This Row],[Anzahl Studierende ]]</f>
        <v>0</v>
      </c>
      <c r="U21" s="19">
        <f>IF(Tabelle21213[[#This Row],[Verkehrsmittel]]="Straßen-, S-, U-Bahn",Tabelle21213[[#This Row],[Entfernung (km) gesamt]],0)*Tabelle21213[[#This Row],[Anzahl Studierende ]]</f>
        <v>0</v>
      </c>
      <c r="V21" s="19">
        <f>IF(Tabelle21213[[#This Row],[Verkehrsmittel]]="Fahrrad",Tabelle21213[[#This Row],[Entfernung (km) gesamt]],0)*Tabelle21213[[#This Row],[Anzahl Studierende ]]</f>
        <v>0</v>
      </c>
    </row>
    <row r="22" spans="1:22" s="8" customFormat="1">
      <c r="A22"/>
      <c r="B22" s="138"/>
      <c r="C22" s="139"/>
      <c r="D22" s="161"/>
      <c r="E22" s="111"/>
      <c r="F22" s="111"/>
      <c r="G22" s="111"/>
      <c r="H22" s="111">
        <f>Tabelle21213[[#This Row],[Entfernung (km) einfach]]*2</f>
        <v>0</v>
      </c>
      <c r="I22" s="111"/>
      <c r="J22" s="140"/>
      <c r="K22" s="9">
        <f>IF(Tabelle21213[[#This Row],[Verkehrsmittel]]="Bus",Tabelle21213[[#This Row],[Entfernung (km) gesamt]],0)*Tabelle21213[[#This Row],[Anzahl Studierende ]]</f>
        <v>0</v>
      </c>
      <c r="L22" s="9">
        <f>IF(Tabelle21213[[#This Row],[Verkehrsmittel]]="Bahn",Tabelle21213[[#This Row],[Anzahl Studierende ]]*Tabelle21213[[#This Row],[Entfernung (km) gesamt]],0)</f>
        <v>0</v>
      </c>
      <c r="M22" s="9">
        <f>IF(Tabelle21213[[#This Row],[Verkehrsmittel]]="PKW",Tabelle21213[[#This Row],[Anzahl Studierende ]]*Tabelle21213[[#This Row],[Entfernung (km) gesamt]],0)</f>
        <v>0</v>
      </c>
      <c r="N22" s="9">
        <f>IF(Tabelle21213[[#This Row],[Verkehrsmittel]]="Flug", IF(AND(Tabelle21213[[#This Row],[Entfernung (km) einfach]]&lt;500),Tabelle21213[[#This Row],[Entfernung (km) gesamt]]), 0)*Tabelle21213[[#This Row],[Anzahl Studierende ]]</f>
        <v>0</v>
      </c>
      <c r="O22" s="9">
        <f>IF(Tabelle21213[[#This Row],[Verkehrsmittel]]="Flug", IF(AND(Tabelle21213[[#This Row],[Entfernung (km) einfach]]&gt;500,Tabelle21213[[#This Row],[Entfernung (km) einfach]]&lt;1000),Tabelle21213[[#This Row],[Entfernung (km) gesamt]], 0), 0)*Tabelle21213[[#This Row],[Anzahl Studierende ]]</f>
        <v>0</v>
      </c>
      <c r="P22" s="9">
        <f>IF(Tabelle21213[[#This Row],[Verkehrsmittel]]="Flug", IF(AND(Tabelle21213[[#This Row],[Entfernung (km) einfach]]&gt;1000,Tabelle21213[[#This Row],[Entfernung (km) einfach]]&lt;2000),Tabelle21213[[#This Row],[Entfernung (km) gesamt]], 0), 0)*Tabelle21213[[#This Row],[Anzahl Studierende ]]</f>
        <v>0</v>
      </c>
      <c r="Q22" s="9">
        <f>IF(Tabelle21213[[#This Row],[Verkehrsmittel]]="Flug", IF(AND(Tabelle21213[[#This Row],[Entfernung (km) einfach]]&gt;2000,Tabelle21213[[#This Row],[Entfernung (km) einfach]]&lt;5000),Tabelle21213[[#This Row],[Entfernung (km) gesamt]], 0), 0)*Tabelle21213[[#This Row],[Anzahl Studierende ]]</f>
        <v>0</v>
      </c>
      <c r="R22" s="9">
        <f>IF(Tabelle21213[[#This Row],[Verkehrsmittel]]="Flug", IF(AND(Tabelle21213[[#This Row],[Entfernung (km) einfach]]&gt;5000,Tabelle21213[[#This Row],[Entfernung (km) einfach]]&lt;10000),Tabelle21213[[#This Row],[Entfernung (km) gesamt]], 0), 0)*Tabelle21213[[#This Row],[Anzahl Studierende ]]</f>
        <v>0</v>
      </c>
      <c r="S22" s="9">
        <f>IF(Tabelle21213[[#This Row],[Verkehrsmittel]]="Flug", IF(AND(Tabelle21213[[#This Row],[Entfernung (km) einfach]]&gt;10000),Tabelle21213[[#This Row],[Entfernung (km) gesamt]]), 0)*Tabelle21213[[#This Row],[Anzahl Studierende ]]</f>
        <v>0</v>
      </c>
      <c r="T22" s="19">
        <f>IF(Tabelle21213[[#This Row],[Verkehrsmittel]]="Motorrad",Tabelle21213[[#This Row],[Entfernung (km) gesamt]],0)*Tabelle21213[[#This Row],[Anzahl Studierende ]]</f>
        <v>0</v>
      </c>
      <c r="U22" s="19">
        <f>IF(Tabelle21213[[#This Row],[Verkehrsmittel]]="Straßen-, S-, U-Bahn",Tabelle21213[[#This Row],[Entfernung (km) gesamt]],0)*Tabelle21213[[#This Row],[Anzahl Studierende ]]</f>
        <v>0</v>
      </c>
      <c r="V22" s="19">
        <f>IF(Tabelle21213[[#This Row],[Verkehrsmittel]]="Fahrrad",Tabelle21213[[#This Row],[Entfernung (km) gesamt]],0)*Tabelle21213[[#This Row],[Anzahl Studierende ]]</f>
        <v>0</v>
      </c>
    </row>
    <row r="23" spans="1:22" s="8" customFormat="1">
      <c r="A23"/>
      <c r="B23" s="138"/>
      <c r="C23" s="139"/>
      <c r="D23" s="160"/>
      <c r="E23" s="111"/>
      <c r="F23" s="111"/>
      <c r="G23" s="111"/>
      <c r="H23" s="111">
        <f>Tabelle21213[[#This Row],[Entfernung (km) einfach]]*2</f>
        <v>0</v>
      </c>
      <c r="I23" s="111"/>
      <c r="J23" s="140"/>
      <c r="K23" s="9">
        <f>IF(Tabelle21213[[#This Row],[Verkehrsmittel]]="Bus",Tabelle21213[[#This Row],[Entfernung (km) gesamt]],0)*Tabelle21213[[#This Row],[Anzahl Studierende ]]</f>
        <v>0</v>
      </c>
      <c r="L23" s="9">
        <f>IF(Tabelle21213[[#This Row],[Verkehrsmittel]]="Bahn",Tabelle21213[[#This Row],[Anzahl Studierende ]]*Tabelle21213[[#This Row],[Entfernung (km) gesamt]],0)</f>
        <v>0</v>
      </c>
      <c r="M23" s="9">
        <f>IF(Tabelle21213[[#This Row],[Verkehrsmittel]]="PKW",Tabelle21213[[#This Row],[Anzahl Studierende ]]*Tabelle21213[[#This Row],[Entfernung (km) gesamt]],0)</f>
        <v>0</v>
      </c>
      <c r="N23" s="9">
        <f>IF(Tabelle21213[[#This Row],[Verkehrsmittel]]="Flug", IF(AND(Tabelle21213[[#This Row],[Entfernung (km) einfach]]&lt;500),Tabelle21213[[#This Row],[Entfernung (km) gesamt]]), 0)*Tabelle21213[[#This Row],[Anzahl Studierende ]]</f>
        <v>0</v>
      </c>
      <c r="O23" s="9">
        <f>IF(Tabelle21213[[#This Row],[Verkehrsmittel]]="Flug", IF(AND(Tabelle21213[[#This Row],[Entfernung (km) einfach]]&gt;500,Tabelle21213[[#This Row],[Entfernung (km) einfach]]&lt;1000),Tabelle21213[[#This Row],[Entfernung (km) gesamt]], 0), 0)*Tabelle21213[[#This Row],[Anzahl Studierende ]]</f>
        <v>0</v>
      </c>
      <c r="P23" s="9">
        <f>IF(Tabelle21213[[#This Row],[Verkehrsmittel]]="Flug", IF(AND(Tabelle21213[[#This Row],[Entfernung (km) einfach]]&gt;1000,Tabelle21213[[#This Row],[Entfernung (km) einfach]]&lt;2000),Tabelle21213[[#This Row],[Entfernung (km) gesamt]], 0), 0)*Tabelle21213[[#This Row],[Anzahl Studierende ]]</f>
        <v>0</v>
      </c>
      <c r="Q23" s="9">
        <f>IF(Tabelle21213[[#This Row],[Verkehrsmittel]]="Flug", IF(AND(Tabelle21213[[#This Row],[Entfernung (km) einfach]]&gt;2000,Tabelle21213[[#This Row],[Entfernung (km) einfach]]&lt;5000),Tabelle21213[[#This Row],[Entfernung (km) gesamt]], 0), 0)*Tabelle21213[[#This Row],[Anzahl Studierende ]]</f>
        <v>0</v>
      </c>
      <c r="R23" s="9">
        <f>IF(Tabelle21213[[#This Row],[Verkehrsmittel]]="Flug", IF(AND(Tabelle21213[[#This Row],[Entfernung (km) einfach]]&gt;5000,Tabelle21213[[#This Row],[Entfernung (km) einfach]]&lt;10000),Tabelle21213[[#This Row],[Entfernung (km) gesamt]], 0), 0)*Tabelle21213[[#This Row],[Anzahl Studierende ]]</f>
        <v>0</v>
      </c>
      <c r="S23" s="9">
        <f>IF(Tabelle21213[[#This Row],[Verkehrsmittel]]="Flug", IF(AND(Tabelle21213[[#This Row],[Entfernung (km) einfach]]&gt;10000),Tabelle21213[[#This Row],[Entfernung (km) gesamt]]), 0)*Tabelle21213[[#This Row],[Anzahl Studierende ]]</f>
        <v>0</v>
      </c>
      <c r="T23" s="19">
        <f>IF(Tabelle21213[[#This Row],[Verkehrsmittel]]="Motorrad",Tabelle21213[[#This Row],[Entfernung (km) gesamt]],0)*Tabelle21213[[#This Row],[Anzahl Studierende ]]</f>
        <v>0</v>
      </c>
      <c r="U23" s="19">
        <f>IF(Tabelle21213[[#This Row],[Verkehrsmittel]]="Straßen-, S-, U-Bahn",Tabelle21213[[#This Row],[Entfernung (km) gesamt]],0)*Tabelle21213[[#This Row],[Anzahl Studierende ]]</f>
        <v>0</v>
      </c>
      <c r="V23" s="19">
        <f>IF(Tabelle21213[[#This Row],[Verkehrsmittel]]="Fahrrad",Tabelle21213[[#This Row],[Entfernung (km) gesamt]],0)*Tabelle21213[[#This Row],[Anzahl Studierende ]]</f>
        <v>0</v>
      </c>
    </row>
    <row r="24" spans="1:22" s="8" customFormat="1">
      <c r="B24" s="138"/>
      <c r="C24" s="139"/>
      <c r="D24" s="160"/>
      <c r="E24" s="111"/>
      <c r="F24" s="111"/>
      <c r="G24" s="111"/>
      <c r="H24" s="111">
        <f>Tabelle21213[[#This Row],[Entfernung (km) einfach]]*2</f>
        <v>0</v>
      </c>
      <c r="I24" s="111"/>
      <c r="J24" s="140"/>
      <c r="K24" s="33">
        <f>IF(Tabelle21213[[#This Row],[Verkehrsmittel]]="Bus",Tabelle21213[[#This Row],[Entfernung (km) gesamt]],0)*Tabelle21213[[#This Row],[Anzahl Studierende ]]</f>
        <v>0</v>
      </c>
      <c r="L24" s="33">
        <f>IF(Tabelle21213[[#This Row],[Verkehrsmittel]]="Bahn",Tabelle21213[[#This Row],[Anzahl Studierende ]]*Tabelle21213[[#This Row],[Entfernung (km) gesamt]],0)</f>
        <v>0</v>
      </c>
      <c r="M24" s="33">
        <f>IF(Tabelle21213[[#This Row],[Verkehrsmittel]]="PKW",Tabelle21213[[#This Row],[Anzahl Studierende ]]*Tabelle21213[[#This Row],[Entfernung (km) gesamt]],0)</f>
        <v>0</v>
      </c>
      <c r="N24" s="33">
        <f>IF(Tabelle21213[[#This Row],[Verkehrsmittel]]="Flug", IF(AND(Tabelle21213[[#This Row],[Entfernung (km) einfach]]&lt;500),Tabelle21213[[#This Row],[Entfernung (km) gesamt]]), 0)*Tabelle21213[[#This Row],[Anzahl Studierende ]]</f>
        <v>0</v>
      </c>
      <c r="O24" s="33">
        <f>IF(Tabelle21213[[#This Row],[Verkehrsmittel]]="Flug", IF(AND(Tabelle21213[[#This Row],[Entfernung (km) einfach]]&gt;500,Tabelle21213[[#This Row],[Entfernung (km) einfach]]&lt;1000),Tabelle21213[[#This Row],[Entfernung (km) gesamt]], 0), 0)*Tabelle21213[[#This Row],[Anzahl Studierende ]]</f>
        <v>0</v>
      </c>
      <c r="P24" s="33">
        <f>IF(Tabelle21213[[#This Row],[Verkehrsmittel]]="Flug", IF(AND(Tabelle21213[[#This Row],[Entfernung (km) einfach]]&gt;1000,Tabelle21213[[#This Row],[Entfernung (km) einfach]]&lt;2000),Tabelle21213[[#This Row],[Entfernung (km) gesamt]], 0), 0)*Tabelle21213[[#This Row],[Anzahl Studierende ]]</f>
        <v>0</v>
      </c>
      <c r="Q24" s="33">
        <f>IF(Tabelle21213[[#This Row],[Verkehrsmittel]]="Flug", IF(AND(Tabelle21213[[#This Row],[Entfernung (km) einfach]]&gt;2000,Tabelle21213[[#This Row],[Entfernung (km) einfach]]&lt;5000),Tabelle21213[[#This Row],[Entfernung (km) gesamt]], 0), 0)*Tabelle21213[[#This Row],[Anzahl Studierende ]]</f>
        <v>0</v>
      </c>
      <c r="R24" s="33">
        <f>IF(Tabelle21213[[#This Row],[Verkehrsmittel]]="Flug", IF(AND(Tabelle21213[[#This Row],[Entfernung (km) einfach]]&gt;5000,Tabelle21213[[#This Row],[Entfernung (km) einfach]]&lt;10000),Tabelle21213[[#This Row],[Entfernung (km) gesamt]], 0), 0)*Tabelle21213[[#This Row],[Anzahl Studierende ]]</f>
        <v>0</v>
      </c>
      <c r="S24" s="33">
        <f>IF(Tabelle21213[[#This Row],[Verkehrsmittel]]="Flug", IF(AND(Tabelle21213[[#This Row],[Entfernung (km) einfach]]&gt;10000),Tabelle21213[[#This Row],[Entfernung (km) gesamt]]), 0)*Tabelle21213[[#This Row],[Anzahl Studierende ]]</f>
        <v>0</v>
      </c>
      <c r="T24" s="49">
        <f>IF(Tabelle21213[[#This Row],[Verkehrsmittel]]="Motorrad",Tabelle21213[[#This Row],[Entfernung (km) gesamt]],0)*Tabelle21213[[#This Row],[Anzahl Studierende ]]</f>
        <v>0</v>
      </c>
      <c r="U24" s="49">
        <f>IF(Tabelle21213[[#This Row],[Verkehrsmittel]]="Straßen-, S-, U-Bahn",Tabelle21213[[#This Row],[Entfernung (km) gesamt]],0)*Tabelle21213[[#This Row],[Anzahl Studierende ]]</f>
        <v>0</v>
      </c>
      <c r="V24" s="49">
        <f>IF(Tabelle21213[[#This Row],[Verkehrsmittel]]="Fahrrad",Tabelle21213[[#This Row],[Entfernung (km) gesamt]],0)*Tabelle21213[[#This Row],[Anzahl Studierende ]]</f>
        <v>0</v>
      </c>
    </row>
    <row r="25" spans="1:22" s="8" customFormat="1">
      <c r="B25" s="138"/>
      <c r="C25" s="139"/>
      <c r="D25" s="160"/>
      <c r="E25" s="111"/>
      <c r="F25" s="111"/>
      <c r="G25" s="111"/>
      <c r="H25" s="111">
        <f>Tabelle21213[[#This Row],[Entfernung (km) einfach]]*2</f>
        <v>0</v>
      </c>
      <c r="I25" s="111"/>
      <c r="J25" s="140"/>
      <c r="K25" s="33">
        <f>IF(Tabelle21213[[#This Row],[Verkehrsmittel]]="Bus",Tabelle21213[[#This Row],[Entfernung (km) gesamt]],0)*Tabelle21213[[#This Row],[Anzahl Studierende ]]</f>
        <v>0</v>
      </c>
      <c r="L25" s="33">
        <f>IF(Tabelle21213[[#This Row],[Verkehrsmittel]]="Bahn",Tabelle21213[[#This Row],[Anzahl Studierende ]]*Tabelle21213[[#This Row],[Entfernung (km) gesamt]],0)</f>
        <v>0</v>
      </c>
      <c r="M25" s="33">
        <f>IF(Tabelle21213[[#This Row],[Verkehrsmittel]]="PKW",Tabelle21213[[#This Row],[Anzahl Studierende ]]*Tabelle21213[[#This Row],[Entfernung (km) gesamt]],0)</f>
        <v>0</v>
      </c>
      <c r="N25" s="33">
        <f>IF(Tabelle21213[[#This Row],[Verkehrsmittel]]="Flug", IF(AND(Tabelle21213[[#This Row],[Entfernung (km) einfach]]&lt;500),Tabelle21213[[#This Row],[Entfernung (km) gesamt]]), 0)*Tabelle21213[[#This Row],[Anzahl Studierende ]]</f>
        <v>0</v>
      </c>
      <c r="O25" s="33">
        <f>IF(Tabelle21213[[#This Row],[Verkehrsmittel]]="Flug", IF(AND(Tabelle21213[[#This Row],[Entfernung (km) einfach]]&gt;500,Tabelle21213[[#This Row],[Entfernung (km) einfach]]&lt;1000),Tabelle21213[[#This Row],[Entfernung (km) gesamt]], 0), 0)*Tabelle21213[[#This Row],[Anzahl Studierende ]]</f>
        <v>0</v>
      </c>
      <c r="P25" s="33">
        <f>IF(Tabelle21213[[#This Row],[Verkehrsmittel]]="Flug", IF(AND(Tabelle21213[[#This Row],[Entfernung (km) einfach]]&gt;1000,Tabelle21213[[#This Row],[Entfernung (km) einfach]]&lt;2000),Tabelle21213[[#This Row],[Entfernung (km) gesamt]], 0), 0)*Tabelle21213[[#This Row],[Anzahl Studierende ]]</f>
        <v>0</v>
      </c>
      <c r="Q25" s="33">
        <f>IF(Tabelle21213[[#This Row],[Verkehrsmittel]]="Flug", IF(AND(Tabelle21213[[#This Row],[Entfernung (km) einfach]]&gt;2000,Tabelle21213[[#This Row],[Entfernung (km) einfach]]&lt;5000),Tabelle21213[[#This Row],[Entfernung (km) gesamt]], 0), 0)*Tabelle21213[[#This Row],[Anzahl Studierende ]]</f>
        <v>0</v>
      </c>
      <c r="R25" s="33">
        <f>IF(Tabelle21213[[#This Row],[Verkehrsmittel]]="Flug", IF(AND(Tabelle21213[[#This Row],[Entfernung (km) einfach]]&gt;5000,Tabelle21213[[#This Row],[Entfernung (km) einfach]]&lt;10000),Tabelle21213[[#This Row],[Entfernung (km) gesamt]], 0), 0)*Tabelle21213[[#This Row],[Anzahl Studierende ]]</f>
        <v>0</v>
      </c>
      <c r="S25" s="33">
        <f>IF(Tabelle21213[[#This Row],[Verkehrsmittel]]="Flug", IF(AND(Tabelle21213[[#This Row],[Entfernung (km) einfach]]&gt;10000),Tabelle21213[[#This Row],[Entfernung (km) gesamt]]), 0)*Tabelle21213[[#This Row],[Anzahl Studierende ]]</f>
        <v>0</v>
      </c>
      <c r="T25" s="49">
        <f>IF(Tabelle21213[[#This Row],[Verkehrsmittel]]="Motorrad",Tabelle21213[[#This Row],[Entfernung (km) gesamt]],0)*Tabelle21213[[#This Row],[Anzahl Studierende ]]</f>
        <v>0</v>
      </c>
      <c r="U25" s="49">
        <f>IF(Tabelle21213[[#This Row],[Verkehrsmittel]]="Straßen-, S-, U-Bahn",Tabelle21213[[#This Row],[Entfernung (km) gesamt]],0)*Tabelle21213[[#This Row],[Anzahl Studierende ]]</f>
        <v>0</v>
      </c>
      <c r="V25" s="49">
        <f>IF(Tabelle21213[[#This Row],[Verkehrsmittel]]="Fahrrad",Tabelle21213[[#This Row],[Entfernung (km) gesamt]],0)*Tabelle21213[[#This Row],[Anzahl Studierende ]]</f>
        <v>0</v>
      </c>
    </row>
    <row r="26" spans="1:22" s="8" customFormat="1">
      <c r="B26" s="138"/>
      <c r="C26" s="139"/>
      <c r="D26" s="160"/>
      <c r="E26" s="111"/>
      <c r="F26" s="111"/>
      <c r="G26" s="111"/>
      <c r="H26" s="111">
        <f>Tabelle21213[[#This Row],[Entfernung (km) einfach]]*2</f>
        <v>0</v>
      </c>
      <c r="I26" s="111"/>
      <c r="J26" s="140"/>
      <c r="K26" s="33">
        <f>IF(Tabelle21213[[#This Row],[Verkehrsmittel]]="Bus",Tabelle21213[[#This Row],[Entfernung (km) gesamt]],0)*Tabelle21213[[#This Row],[Anzahl Studierende ]]</f>
        <v>0</v>
      </c>
      <c r="L26" s="33">
        <f>IF(Tabelle21213[[#This Row],[Verkehrsmittel]]="Bahn",Tabelle21213[[#This Row],[Anzahl Studierende ]]*Tabelle21213[[#This Row],[Entfernung (km) gesamt]],0)</f>
        <v>0</v>
      </c>
      <c r="M26" s="33">
        <f>IF(Tabelle21213[[#This Row],[Verkehrsmittel]]="PKW",Tabelle21213[[#This Row],[Anzahl Studierende ]]*Tabelle21213[[#This Row],[Entfernung (km) gesamt]],0)</f>
        <v>0</v>
      </c>
      <c r="N26" s="33">
        <f>IF(Tabelle21213[[#This Row],[Verkehrsmittel]]="Flug", IF(AND(Tabelle21213[[#This Row],[Entfernung (km) einfach]]&lt;500),Tabelle21213[[#This Row],[Entfernung (km) gesamt]]), 0)*Tabelle21213[[#This Row],[Anzahl Studierende ]]</f>
        <v>0</v>
      </c>
      <c r="O26" s="33">
        <f>IF(Tabelle21213[[#This Row],[Verkehrsmittel]]="Flug", IF(AND(Tabelle21213[[#This Row],[Entfernung (km) einfach]]&gt;500,Tabelle21213[[#This Row],[Entfernung (km) einfach]]&lt;1000),Tabelle21213[[#This Row],[Entfernung (km) gesamt]], 0), 0)*Tabelle21213[[#This Row],[Anzahl Studierende ]]</f>
        <v>0</v>
      </c>
      <c r="P26" s="33">
        <f>IF(Tabelle21213[[#This Row],[Verkehrsmittel]]="Flug", IF(AND(Tabelle21213[[#This Row],[Entfernung (km) einfach]]&gt;1000,Tabelle21213[[#This Row],[Entfernung (km) einfach]]&lt;2000),Tabelle21213[[#This Row],[Entfernung (km) gesamt]], 0), 0)*Tabelle21213[[#This Row],[Anzahl Studierende ]]</f>
        <v>0</v>
      </c>
      <c r="Q26" s="33">
        <f>IF(Tabelle21213[[#This Row],[Verkehrsmittel]]="Flug", IF(AND(Tabelle21213[[#This Row],[Entfernung (km) einfach]]&gt;2000,Tabelle21213[[#This Row],[Entfernung (km) einfach]]&lt;5000),Tabelle21213[[#This Row],[Entfernung (km) gesamt]], 0), 0)*Tabelle21213[[#This Row],[Anzahl Studierende ]]</f>
        <v>0</v>
      </c>
      <c r="R26" s="33">
        <f>IF(Tabelle21213[[#This Row],[Verkehrsmittel]]="Flug", IF(AND(Tabelle21213[[#This Row],[Entfernung (km) einfach]]&gt;5000,Tabelle21213[[#This Row],[Entfernung (km) einfach]]&lt;10000),Tabelle21213[[#This Row],[Entfernung (km) gesamt]], 0), 0)*Tabelle21213[[#This Row],[Anzahl Studierende ]]</f>
        <v>0</v>
      </c>
      <c r="S26" s="33">
        <f>IF(Tabelle21213[[#This Row],[Verkehrsmittel]]="Flug", IF(AND(Tabelle21213[[#This Row],[Entfernung (km) einfach]]&gt;10000),Tabelle21213[[#This Row],[Entfernung (km) gesamt]]), 0)*Tabelle21213[[#This Row],[Anzahl Studierende ]]</f>
        <v>0</v>
      </c>
      <c r="T26" s="49">
        <f>IF(Tabelle21213[[#This Row],[Verkehrsmittel]]="Motorrad",Tabelle21213[[#This Row],[Entfernung (km) gesamt]],0)*Tabelle21213[[#This Row],[Anzahl Studierende ]]</f>
        <v>0</v>
      </c>
      <c r="U26" s="49">
        <f>IF(Tabelle21213[[#This Row],[Verkehrsmittel]]="Straßen-, S-, U-Bahn",Tabelle21213[[#This Row],[Entfernung (km) gesamt]],0)*Tabelle21213[[#This Row],[Anzahl Studierende ]]</f>
        <v>0</v>
      </c>
      <c r="V26" s="49">
        <f>IF(Tabelle21213[[#This Row],[Verkehrsmittel]]="Fahrrad",Tabelle21213[[#This Row],[Entfernung (km) gesamt]],0)*Tabelle21213[[#This Row],[Anzahl Studierende ]]</f>
        <v>0</v>
      </c>
    </row>
    <row r="27" spans="1:22" s="8" customFormat="1">
      <c r="B27" s="138"/>
      <c r="C27" s="139"/>
      <c r="D27" s="160"/>
      <c r="E27" s="111"/>
      <c r="F27" s="111"/>
      <c r="G27" s="111"/>
      <c r="H27" s="111">
        <f>Tabelle21213[[#This Row],[Entfernung (km) einfach]]*2</f>
        <v>0</v>
      </c>
      <c r="I27" s="111"/>
      <c r="J27" s="140"/>
      <c r="K27" s="33">
        <f>IF(Tabelle21213[[#This Row],[Verkehrsmittel]]="Bus",Tabelle21213[[#This Row],[Entfernung (km) gesamt]],0)*Tabelle21213[[#This Row],[Anzahl Studierende ]]</f>
        <v>0</v>
      </c>
      <c r="L27" s="33">
        <f>IF(Tabelle21213[[#This Row],[Verkehrsmittel]]="Bahn",Tabelle21213[[#This Row],[Anzahl Studierende ]]*Tabelle21213[[#This Row],[Entfernung (km) gesamt]],0)</f>
        <v>0</v>
      </c>
      <c r="M27" s="33">
        <f>IF(Tabelle21213[[#This Row],[Verkehrsmittel]]="PKW",Tabelle21213[[#This Row],[Anzahl Studierende ]]*Tabelle21213[[#This Row],[Entfernung (km) gesamt]],0)</f>
        <v>0</v>
      </c>
      <c r="N27" s="33">
        <f>IF(Tabelle21213[[#This Row],[Verkehrsmittel]]="Flug", IF(AND(Tabelle21213[[#This Row],[Entfernung (km) einfach]]&lt;500),Tabelle21213[[#This Row],[Entfernung (km) gesamt]]), 0)*Tabelle21213[[#This Row],[Anzahl Studierende ]]</f>
        <v>0</v>
      </c>
      <c r="O27" s="33">
        <f>IF(Tabelle21213[[#This Row],[Verkehrsmittel]]="Flug", IF(AND(Tabelle21213[[#This Row],[Entfernung (km) einfach]]&gt;500,Tabelle21213[[#This Row],[Entfernung (km) einfach]]&lt;1000),Tabelle21213[[#This Row],[Entfernung (km) gesamt]], 0), 0)*Tabelle21213[[#This Row],[Anzahl Studierende ]]</f>
        <v>0</v>
      </c>
      <c r="P27" s="33">
        <f>IF(Tabelle21213[[#This Row],[Verkehrsmittel]]="Flug", IF(AND(Tabelle21213[[#This Row],[Entfernung (km) einfach]]&gt;1000,Tabelle21213[[#This Row],[Entfernung (km) einfach]]&lt;2000),Tabelle21213[[#This Row],[Entfernung (km) gesamt]], 0), 0)*Tabelle21213[[#This Row],[Anzahl Studierende ]]</f>
        <v>0</v>
      </c>
      <c r="Q27" s="33">
        <f>IF(Tabelle21213[[#This Row],[Verkehrsmittel]]="Flug", IF(AND(Tabelle21213[[#This Row],[Entfernung (km) einfach]]&gt;2000,Tabelle21213[[#This Row],[Entfernung (km) einfach]]&lt;5000),Tabelle21213[[#This Row],[Entfernung (km) gesamt]], 0), 0)*Tabelle21213[[#This Row],[Anzahl Studierende ]]</f>
        <v>0</v>
      </c>
      <c r="R27" s="33">
        <f>IF(Tabelle21213[[#This Row],[Verkehrsmittel]]="Flug", IF(AND(Tabelle21213[[#This Row],[Entfernung (km) einfach]]&gt;5000,Tabelle21213[[#This Row],[Entfernung (km) einfach]]&lt;10000),Tabelle21213[[#This Row],[Entfernung (km) gesamt]], 0), 0)*Tabelle21213[[#This Row],[Anzahl Studierende ]]</f>
        <v>0</v>
      </c>
      <c r="S27" s="33">
        <f>IF(Tabelle21213[[#This Row],[Verkehrsmittel]]="Flug", IF(AND(Tabelle21213[[#This Row],[Entfernung (km) einfach]]&gt;10000),Tabelle21213[[#This Row],[Entfernung (km) gesamt]]), 0)*Tabelle21213[[#This Row],[Anzahl Studierende ]]</f>
        <v>0</v>
      </c>
      <c r="T27" s="49">
        <f>IF(Tabelle21213[[#This Row],[Verkehrsmittel]]="Motorrad",Tabelle21213[[#This Row],[Entfernung (km) gesamt]],0)*Tabelle21213[[#This Row],[Anzahl Studierende ]]</f>
        <v>0</v>
      </c>
      <c r="U27" s="49">
        <f>IF(Tabelle21213[[#This Row],[Verkehrsmittel]]="Straßen-, S-, U-Bahn",Tabelle21213[[#This Row],[Entfernung (km) gesamt]],0)*Tabelle21213[[#This Row],[Anzahl Studierende ]]</f>
        <v>0</v>
      </c>
      <c r="V27" s="49">
        <f>IF(Tabelle21213[[#This Row],[Verkehrsmittel]]="Fahrrad",Tabelle21213[[#This Row],[Entfernung (km) gesamt]],0)*Tabelle21213[[#This Row],[Anzahl Studierende ]]</f>
        <v>0</v>
      </c>
    </row>
    <row r="28" spans="1:22" s="8" customFormat="1">
      <c r="B28" s="138"/>
      <c r="C28" s="139"/>
      <c r="D28" s="160"/>
      <c r="E28" s="111"/>
      <c r="F28" s="111"/>
      <c r="G28" s="111"/>
      <c r="H28" s="111">
        <f>Tabelle21213[[#This Row],[Entfernung (km) einfach]]*2</f>
        <v>0</v>
      </c>
      <c r="I28" s="111"/>
      <c r="J28" s="140"/>
      <c r="K28" s="33">
        <f>IF(Tabelle21213[[#This Row],[Verkehrsmittel]]="Bus",Tabelle21213[[#This Row],[Entfernung (km) gesamt]],0)*Tabelle21213[[#This Row],[Anzahl Studierende ]]</f>
        <v>0</v>
      </c>
      <c r="L28" s="33">
        <f>IF(Tabelle21213[[#This Row],[Verkehrsmittel]]="Bahn",Tabelle21213[[#This Row],[Anzahl Studierende ]]*Tabelle21213[[#This Row],[Entfernung (km) gesamt]],0)</f>
        <v>0</v>
      </c>
      <c r="M28" s="33">
        <f>IF(Tabelle21213[[#This Row],[Verkehrsmittel]]="PKW",Tabelle21213[[#This Row],[Anzahl Studierende ]]*Tabelle21213[[#This Row],[Entfernung (km) gesamt]],0)</f>
        <v>0</v>
      </c>
      <c r="N28" s="33">
        <f>IF(Tabelle21213[[#This Row],[Verkehrsmittel]]="Flug", IF(AND(Tabelle21213[[#This Row],[Entfernung (km) einfach]]&lt;500),Tabelle21213[[#This Row],[Entfernung (km) gesamt]]), 0)*Tabelle21213[[#This Row],[Anzahl Studierende ]]</f>
        <v>0</v>
      </c>
      <c r="O28" s="33">
        <f>IF(Tabelle21213[[#This Row],[Verkehrsmittel]]="Flug", IF(AND(Tabelle21213[[#This Row],[Entfernung (km) einfach]]&gt;500,Tabelle21213[[#This Row],[Entfernung (km) einfach]]&lt;1000),Tabelle21213[[#This Row],[Entfernung (km) gesamt]], 0), 0)*Tabelle21213[[#This Row],[Anzahl Studierende ]]</f>
        <v>0</v>
      </c>
      <c r="P28" s="33">
        <f>IF(Tabelle21213[[#This Row],[Verkehrsmittel]]="Flug", IF(AND(Tabelle21213[[#This Row],[Entfernung (km) einfach]]&gt;1000,Tabelle21213[[#This Row],[Entfernung (km) einfach]]&lt;2000),Tabelle21213[[#This Row],[Entfernung (km) gesamt]], 0), 0)*Tabelle21213[[#This Row],[Anzahl Studierende ]]</f>
        <v>0</v>
      </c>
      <c r="Q28" s="33">
        <f>IF(Tabelle21213[[#This Row],[Verkehrsmittel]]="Flug", IF(AND(Tabelle21213[[#This Row],[Entfernung (km) einfach]]&gt;2000,Tabelle21213[[#This Row],[Entfernung (km) einfach]]&lt;5000),Tabelle21213[[#This Row],[Entfernung (km) gesamt]], 0), 0)*Tabelle21213[[#This Row],[Anzahl Studierende ]]</f>
        <v>0</v>
      </c>
      <c r="R28" s="33">
        <f>IF(Tabelle21213[[#This Row],[Verkehrsmittel]]="Flug", IF(AND(Tabelle21213[[#This Row],[Entfernung (km) einfach]]&gt;5000,Tabelle21213[[#This Row],[Entfernung (km) einfach]]&lt;10000),Tabelle21213[[#This Row],[Entfernung (km) gesamt]], 0), 0)*Tabelle21213[[#This Row],[Anzahl Studierende ]]</f>
        <v>0</v>
      </c>
      <c r="S28" s="33">
        <f>IF(Tabelle21213[[#This Row],[Verkehrsmittel]]="Flug", IF(AND(Tabelle21213[[#This Row],[Entfernung (km) einfach]]&gt;10000),Tabelle21213[[#This Row],[Entfernung (km) gesamt]]), 0)*Tabelle21213[[#This Row],[Anzahl Studierende ]]</f>
        <v>0</v>
      </c>
      <c r="T28" s="49">
        <f>IF(Tabelle21213[[#This Row],[Verkehrsmittel]]="Motorrad",Tabelle21213[[#This Row],[Entfernung (km) gesamt]],0)*Tabelle21213[[#This Row],[Anzahl Studierende ]]</f>
        <v>0</v>
      </c>
      <c r="U28" s="49">
        <f>IF(Tabelle21213[[#This Row],[Verkehrsmittel]]="Straßen-, S-, U-Bahn",Tabelle21213[[#This Row],[Entfernung (km) gesamt]],0)*Tabelle21213[[#This Row],[Anzahl Studierende ]]</f>
        <v>0</v>
      </c>
      <c r="V28" s="49">
        <f>IF(Tabelle21213[[#This Row],[Verkehrsmittel]]="Fahrrad",Tabelle21213[[#This Row],[Entfernung (km) gesamt]],0)*Tabelle21213[[#This Row],[Anzahl Studierende ]]</f>
        <v>0</v>
      </c>
    </row>
    <row r="29" spans="1:22" s="8" customFormat="1">
      <c r="B29" s="138"/>
      <c r="C29" s="139"/>
      <c r="D29" s="160"/>
      <c r="E29" s="111"/>
      <c r="F29" s="111"/>
      <c r="G29" s="111"/>
      <c r="H29" s="111">
        <f>Tabelle21213[[#This Row],[Entfernung (km) einfach]]*2</f>
        <v>0</v>
      </c>
      <c r="I29" s="111"/>
      <c r="J29" s="140"/>
      <c r="K29" s="33">
        <f>IF(Tabelle21213[[#This Row],[Verkehrsmittel]]="Bus",Tabelle21213[[#This Row],[Entfernung (km) gesamt]],0)*Tabelle21213[[#This Row],[Anzahl Studierende ]]</f>
        <v>0</v>
      </c>
      <c r="L29" s="33">
        <f>IF(Tabelle21213[[#This Row],[Verkehrsmittel]]="Bahn",Tabelle21213[[#This Row],[Anzahl Studierende ]]*Tabelle21213[[#This Row],[Entfernung (km) gesamt]],0)</f>
        <v>0</v>
      </c>
      <c r="M29" s="33">
        <f>IF(Tabelle21213[[#This Row],[Verkehrsmittel]]="PKW",Tabelle21213[[#This Row],[Anzahl Studierende ]]*Tabelle21213[[#This Row],[Entfernung (km) gesamt]],0)</f>
        <v>0</v>
      </c>
      <c r="N29" s="33">
        <f>IF(Tabelle21213[[#This Row],[Verkehrsmittel]]="Flug", IF(AND(Tabelle21213[[#This Row],[Entfernung (km) einfach]]&lt;500),Tabelle21213[[#This Row],[Entfernung (km) gesamt]]), 0)*Tabelle21213[[#This Row],[Anzahl Studierende ]]</f>
        <v>0</v>
      </c>
      <c r="O29" s="33">
        <f>IF(Tabelle21213[[#This Row],[Verkehrsmittel]]="Flug", IF(AND(Tabelle21213[[#This Row],[Entfernung (km) einfach]]&gt;500,Tabelle21213[[#This Row],[Entfernung (km) einfach]]&lt;1000),Tabelle21213[[#This Row],[Entfernung (km) gesamt]], 0), 0)*Tabelle21213[[#This Row],[Anzahl Studierende ]]</f>
        <v>0</v>
      </c>
      <c r="P29" s="33">
        <f>IF(Tabelle21213[[#This Row],[Verkehrsmittel]]="Flug", IF(AND(Tabelle21213[[#This Row],[Entfernung (km) einfach]]&gt;1000,Tabelle21213[[#This Row],[Entfernung (km) einfach]]&lt;2000),Tabelle21213[[#This Row],[Entfernung (km) gesamt]], 0), 0)*Tabelle21213[[#This Row],[Anzahl Studierende ]]</f>
        <v>0</v>
      </c>
      <c r="Q29" s="33">
        <f>IF(Tabelle21213[[#This Row],[Verkehrsmittel]]="Flug", IF(AND(Tabelle21213[[#This Row],[Entfernung (km) einfach]]&gt;2000,Tabelle21213[[#This Row],[Entfernung (km) einfach]]&lt;5000),Tabelle21213[[#This Row],[Entfernung (km) gesamt]], 0), 0)*Tabelle21213[[#This Row],[Anzahl Studierende ]]</f>
        <v>0</v>
      </c>
      <c r="R29" s="33">
        <f>IF(Tabelle21213[[#This Row],[Verkehrsmittel]]="Flug", IF(AND(Tabelle21213[[#This Row],[Entfernung (km) einfach]]&gt;5000,Tabelle21213[[#This Row],[Entfernung (km) einfach]]&lt;10000),Tabelle21213[[#This Row],[Entfernung (km) gesamt]], 0), 0)*Tabelle21213[[#This Row],[Anzahl Studierende ]]</f>
        <v>0</v>
      </c>
      <c r="S29" s="33">
        <f>IF(Tabelle21213[[#This Row],[Verkehrsmittel]]="Flug", IF(AND(Tabelle21213[[#This Row],[Entfernung (km) einfach]]&gt;10000),Tabelle21213[[#This Row],[Entfernung (km) gesamt]]), 0)*Tabelle21213[[#This Row],[Anzahl Studierende ]]</f>
        <v>0</v>
      </c>
      <c r="T29" s="49">
        <f>IF(Tabelle21213[[#This Row],[Verkehrsmittel]]="Motorrad",Tabelle21213[[#This Row],[Entfernung (km) gesamt]],0)*Tabelle21213[[#This Row],[Anzahl Studierende ]]</f>
        <v>0</v>
      </c>
      <c r="U29" s="49">
        <f>IF(Tabelle21213[[#This Row],[Verkehrsmittel]]="Straßen-, S-, U-Bahn",Tabelle21213[[#This Row],[Entfernung (km) gesamt]],0)*Tabelle21213[[#This Row],[Anzahl Studierende ]]</f>
        <v>0</v>
      </c>
      <c r="V29" s="49">
        <f>IF(Tabelle21213[[#This Row],[Verkehrsmittel]]="Fahrrad",Tabelle21213[[#This Row],[Entfernung (km) gesamt]],0)*Tabelle21213[[#This Row],[Anzahl Studierende ]]</f>
        <v>0</v>
      </c>
    </row>
    <row r="30" spans="1:22" s="8" customFormat="1">
      <c r="B30" s="138"/>
      <c r="C30" s="139"/>
      <c r="D30" s="160"/>
      <c r="E30" s="111"/>
      <c r="F30" s="111"/>
      <c r="G30" s="111"/>
      <c r="H30" s="111">
        <f>Tabelle21213[[#This Row],[Entfernung (km) einfach]]*2</f>
        <v>0</v>
      </c>
      <c r="I30" s="111"/>
      <c r="J30" s="140"/>
      <c r="K30" s="33">
        <f>IF(Tabelle21213[[#This Row],[Verkehrsmittel]]="Bus",Tabelle21213[[#This Row],[Entfernung (km) gesamt]],0)*Tabelle21213[[#This Row],[Anzahl Studierende ]]</f>
        <v>0</v>
      </c>
      <c r="L30" s="33">
        <f>IF(Tabelle21213[[#This Row],[Verkehrsmittel]]="Bahn",Tabelle21213[[#This Row],[Anzahl Studierende ]]*Tabelle21213[[#This Row],[Entfernung (km) gesamt]],0)</f>
        <v>0</v>
      </c>
      <c r="M30" s="33">
        <f>IF(Tabelle21213[[#This Row],[Verkehrsmittel]]="PKW",Tabelle21213[[#This Row],[Anzahl Studierende ]]*Tabelle21213[[#This Row],[Entfernung (km) gesamt]],0)</f>
        <v>0</v>
      </c>
      <c r="N30" s="33">
        <f>IF(Tabelle21213[[#This Row],[Verkehrsmittel]]="Flug", IF(AND(Tabelle21213[[#This Row],[Entfernung (km) einfach]]&lt;500),Tabelle21213[[#This Row],[Entfernung (km) gesamt]]), 0)*Tabelle21213[[#This Row],[Anzahl Studierende ]]</f>
        <v>0</v>
      </c>
      <c r="O30" s="33">
        <f>IF(Tabelle21213[[#This Row],[Verkehrsmittel]]="Flug", IF(AND(Tabelle21213[[#This Row],[Entfernung (km) einfach]]&gt;500,Tabelle21213[[#This Row],[Entfernung (km) einfach]]&lt;1000),Tabelle21213[[#This Row],[Entfernung (km) gesamt]], 0), 0)*Tabelle21213[[#This Row],[Anzahl Studierende ]]</f>
        <v>0</v>
      </c>
      <c r="P30" s="33">
        <f>IF(Tabelle21213[[#This Row],[Verkehrsmittel]]="Flug", IF(AND(Tabelle21213[[#This Row],[Entfernung (km) einfach]]&gt;1000,Tabelle21213[[#This Row],[Entfernung (km) einfach]]&lt;2000),Tabelle21213[[#This Row],[Entfernung (km) gesamt]], 0), 0)*Tabelle21213[[#This Row],[Anzahl Studierende ]]</f>
        <v>0</v>
      </c>
      <c r="Q30" s="33">
        <f>IF(Tabelle21213[[#This Row],[Verkehrsmittel]]="Flug", IF(AND(Tabelle21213[[#This Row],[Entfernung (km) einfach]]&gt;2000,Tabelle21213[[#This Row],[Entfernung (km) einfach]]&lt;5000),Tabelle21213[[#This Row],[Entfernung (km) gesamt]], 0), 0)*Tabelle21213[[#This Row],[Anzahl Studierende ]]</f>
        <v>0</v>
      </c>
      <c r="R30" s="33">
        <f>IF(Tabelle21213[[#This Row],[Verkehrsmittel]]="Flug", IF(AND(Tabelle21213[[#This Row],[Entfernung (km) einfach]]&gt;5000,Tabelle21213[[#This Row],[Entfernung (km) einfach]]&lt;10000),Tabelle21213[[#This Row],[Entfernung (km) gesamt]], 0), 0)*Tabelle21213[[#This Row],[Anzahl Studierende ]]</f>
        <v>0</v>
      </c>
      <c r="S30" s="33">
        <f>IF(Tabelle21213[[#This Row],[Verkehrsmittel]]="Flug", IF(AND(Tabelle21213[[#This Row],[Entfernung (km) einfach]]&gt;10000),Tabelle21213[[#This Row],[Entfernung (km) gesamt]]), 0)*Tabelle21213[[#This Row],[Anzahl Studierende ]]</f>
        <v>0</v>
      </c>
      <c r="T30" s="49">
        <f>IF(Tabelle21213[[#This Row],[Verkehrsmittel]]="Motorrad",Tabelle21213[[#This Row],[Entfernung (km) gesamt]],0)*Tabelle21213[[#This Row],[Anzahl Studierende ]]</f>
        <v>0</v>
      </c>
      <c r="U30" s="49">
        <f>IF(Tabelle21213[[#This Row],[Verkehrsmittel]]="Straßen-, S-, U-Bahn",Tabelle21213[[#This Row],[Entfernung (km) gesamt]],0)*Tabelle21213[[#This Row],[Anzahl Studierende ]]</f>
        <v>0</v>
      </c>
      <c r="V30" s="49">
        <f>IF(Tabelle21213[[#This Row],[Verkehrsmittel]]="Fahrrad",Tabelle21213[[#This Row],[Entfernung (km) gesamt]],0)*Tabelle21213[[#This Row],[Anzahl Studierende ]]</f>
        <v>0</v>
      </c>
    </row>
    <row r="31" spans="1:22" s="8" customFormat="1">
      <c r="B31" s="138"/>
      <c r="C31" s="139"/>
      <c r="D31" s="160"/>
      <c r="E31" s="111"/>
      <c r="F31" s="111"/>
      <c r="G31" s="111"/>
      <c r="H31" s="111">
        <f>Tabelle21213[[#This Row],[Entfernung (km) einfach]]*2</f>
        <v>0</v>
      </c>
      <c r="I31" s="111"/>
      <c r="J31" s="140"/>
      <c r="K31" s="33">
        <f>IF(Tabelle21213[[#This Row],[Verkehrsmittel]]="Bus",Tabelle21213[[#This Row],[Entfernung (km) gesamt]],0)*Tabelle21213[[#This Row],[Anzahl Studierende ]]</f>
        <v>0</v>
      </c>
      <c r="L31" s="33">
        <f>IF(Tabelle21213[[#This Row],[Verkehrsmittel]]="Bahn",Tabelle21213[[#This Row],[Anzahl Studierende ]]*Tabelle21213[[#This Row],[Entfernung (km) gesamt]],0)</f>
        <v>0</v>
      </c>
      <c r="M31" s="33">
        <f>IF(Tabelle21213[[#This Row],[Verkehrsmittel]]="PKW",Tabelle21213[[#This Row],[Anzahl Studierende ]]*Tabelle21213[[#This Row],[Entfernung (km) gesamt]],0)</f>
        <v>0</v>
      </c>
      <c r="N31" s="33">
        <f>IF(Tabelle21213[[#This Row],[Verkehrsmittel]]="Flug", IF(AND(Tabelle21213[[#This Row],[Entfernung (km) einfach]]&lt;500),Tabelle21213[[#This Row],[Entfernung (km) gesamt]]), 0)*Tabelle21213[[#This Row],[Anzahl Studierende ]]</f>
        <v>0</v>
      </c>
      <c r="O31" s="33">
        <f>IF(Tabelle21213[[#This Row],[Verkehrsmittel]]="Flug", IF(AND(Tabelle21213[[#This Row],[Entfernung (km) einfach]]&gt;500,Tabelle21213[[#This Row],[Entfernung (km) einfach]]&lt;1000),Tabelle21213[[#This Row],[Entfernung (km) gesamt]], 0), 0)*Tabelle21213[[#This Row],[Anzahl Studierende ]]</f>
        <v>0</v>
      </c>
      <c r="P31" s="33">
        <f>IF(Tabelle21213[[#This Row],[Verkehrsmittel]]="Flug", IF(AND(Tabelle21213[[#This Row],[Entfernung (km) einfach]]&gt;1000,Tabelle21213[[#This Row],[Entfernung (km) einfach]]&lt;2000),Tabelle21213[[#This Row],[Entfernung (km) gesamt]], 0), 0)*Tabelle21213[[#This Row],[Anzahl Studierende ]]</f>
        <v>0</v>
      </c>
      <c r="Q31" s="33">
        <f>IF(Tabelle21213[[#This Row],[Verkehrsmittel]]="Flug", IF(AND(Tabelle21213[[#This Row],[Entfernung (km) einfach]]&gt;2000,Tabelle21213[[#This Row],[Entfernung (km) einfach]]&lt;5000),Tabelle21213[[#This Row],[Entfernung (km) gesamt]], 0), 0)*Tabelle21213[[#This Row],[Anzahl Studierende ]]</f>
        <v>0</v>
      </c>
      <c r="R31" s="33">
        <f>IF(Tabelle21213[[#This Row],[Verkehrsmittel]]="Flug", IF(AND(Tabelle21213[[#This Row],[Entfernung (km) einfach]]&gt;5000,Tabelle21213[[#This Row],[Entfernung (km) einfach]]&lt;10000),Tabelle21213[[#This Row],[Entfernung (km) gesamt]], 0), 0)*Tabelle21213[[#This Row],[Anzahl Studierende ]]</f>
        <v>0</v>
      </c>
      <c r="S31" s="33">
        <f>IF(Tabelle21213[[#This Row],[Verkehrsmittel]]="Flug", IF(AND(Tabelle21213[[#This Row],[Entfernung (km) einfach]]&gt;10000),Tabelle21213[[#This Row],[Entfernung (km) gesamt]]), 0)*Tabelle21213[[#This Row],[Anzahl Studierende ]]</f>
        <v>0</v>
      </c>
      <c r="T31" s="49">
        <f>IF(Tabelle21213[[#This Row],[Verkehrsmittel]]="Motorrad",Tabelle21213[[#This Row],[Entfernung (km) gesamt]],0)*Tabelle21213[[#This Row],[Anzahl Studierende ]]</f>
        <v>0</v>
      </c>
      <c r="U31" s="49">
        <f>IF(Tabelle21213[[#This Row],[Verkehrsmittel]]="Straßen-, S-, U-Bahn",Tabelle21213[[#This Row],[Entfernung (km) gesamt]],0)*Tabelle21213[[#This Row],[Anzahl Studierende ]]</f>
        <v>0</v>
      </c>
      <c r="V31" s="49">
        <f>IF(Tabelle21213[[#This Row],[Verkehrsmittel]]="Fahrrad",Tabelle21213[[#This Row],[Entfernung (km) gesamt]],0)*Tabelle21213[[#This Row],[Anzahl Studierende ]]</f>
        <v>0</v>
      </c>
    </row>
    <row r="32" spans="1:22" s="8" customFormat="1">
      <c r="B32" s="138"/>
      <c r="C32" s="139"/>
      <c r="D32" s="160"/>
      <c r="E32" s="111"/>
      <c r="F32" s="111"/>
      <c r="G32" s="111"/>
      <c r="H32" s="117">
        <f>Tabelle21213[[#This Row],[Entfernung (km) einfach]]*2</f>
        <v>0</v>
      </c>
      <c r="I32" s="111"/>
      <c r="J32" s="140"/>
      <c r="K32" s="33">
        <f>IF(Tabelle21213[[#This Row],[Verkehrsmittel]]="Bus",Tabelle21213[[#This Row],[Entfernung (km) gesamt]],0)*Tabelle21213[[#This Row],[Anzahl Studierende ]]</f>
        <v>0</v>
      </c>
      <c r="L32" s="33">
        <f>IF(Tabelle21213[[#This Row],[Verkehrsmittel]]="Bahn",Tabelle21213[[#This Row],[Anzahl Studierende ]]*Tabelle21213[[#This Row],[Entfernung (km) gesamt]],0)</f>
        <v>0</v>
      </c>
      <c r="M32" s="33">
        <f>IF(Tabelle21213[[#This Row],[Verkehrsmittel]]="PKW",Tabelle21213[[#This Row],[Anzahl Studierende ]]*Tabelle21213[[#This Row],[Entfernung (km) gesamt]],0)</f>
        <v>0</v>
      </c>
      <c r="N32" s="33">
        <f>IF(Tabelle21213[[#This Row],[Verkehrsmittel]]="Flug", IF(AND(Tabelle21213[[#This Row],[Entfernung (km) einfach]]&lt;500),Tabelle21213[[#This Row],[Entfernung (km) gesamt]]), 0)*Tabelle21213[[#This Row],[Anzahl Studierende ]]</f>
        <v>0</v>
      </c>
      <c r="O32" s="33">
        <f>IF(Tabelle21213[[#This Row],[Verkehrsmittel]]="Flug", IF(AND(Tabelle21213[[#This Row],[Entfernung (km) einfach]]&gt;500,Tabelle21213[[#This Row],[Entfernung (km) einfach]]&lt;1000),Tabelle21213[[#This Row],[Entfernung (km) gesamt]], 0), 0)*Tabelle21213[[#This Row],[Anzahl Studierende ]]</f>
        <v>0</v>
      </c>
      <c r="P32" s="33">
        <f>IF(Tabelle21213[[#This Row],[Verkehrsmittel]]="Flug", IF(AND(Tabelle21213[[#This Row],[Entfernung (km) einfach]]&gt;1000,Tabelle21213[[#This Row],[Entfernung (km) einfach]]&lt;2000),Tabelle21213[[#This Row],[Entfernung (km) gesamt]], 0), 0)*Tabelle21213[[#This Row],[Anzahl Studierende ]]</f>
        <v>0</v>
      </c>
      <c r="Q32" s="33">
        <f>IF(Tabelle21213[[#This Row],[Verkehrsmittel]]="Flug", IF(AND(Tabelle21213[[#This Row],[Entfernung (km) einfach]]&gt;2000,Tabelle21213[[#This Row],[Entfernung (km) einfach]]&lt;5000),Tabelle21213[[#This Row],[Entfernung (km) gesamt]], 0), 0)*Tabelle21213[[#This Row],[Anzahl Studierende ]]</f>
        <v>0</v>
      </c>
      <c r="R32" s="33">
        <f>IF(Tabelle21213[[#This Row],[Verkehrsmittel]]="Flug", IF(AND(Tabelle21213[[#This Row],[Entfernung (km) einfach]]&gt;5000,Tabelle21213[[#This Row],[Entfernung (km) einfach]]&lt;10000),Tabelle21213[[#This Row],[Entfernung (km) gesamt]], 0), 0)*Tabelle21213[[#This Row],[Anzahl Studierende ]]</f>
        <v>0</v>
      </c>
      <c r="S32" s="33">
        <f>IF(Tabelle21213[[#This Row],[Verkehrsmittel]]="Flug", IF(AND(Tabelle21213[[#This Row],[Entfernung (km) einfach]]&gt;10000),Tabelle21213[[#This Row],[Entfernung (km) gesamt]]), 0)*Tabelle21213[[#This Row],[Anzahl Studierende ]]</f>
        <v>0</v>
      </c>
      <c r="T32" s="49">
        <f>IF(Tabelle21213[[#This Row],[Verkehrsmittel]]="Motorrad",Tabelle21213[[#This Row],[Entfernung (km) gesamt]],0)*Tabelle21213[[#This Row],[Anzahl Studierende ]]</f>
        <v>0</v>
      </c>
      <c r="U32" s="49">
        <f>IF(Tabelle21213[[#This Row],[Verkehrsmittel]]="Straßen-, S-, U-Bahn",Tabelle21213[[#This Row],[Entfernung (km) gesamt]],0)*Tabelle21213[[#This Row],[Anzahl Studierende ]]</f>
        <v>0</v>
      </c>
      <c r="V32" s="49">
        <f>IF(Tabelle21213[[#This Row],[Verkehrsmittel]]="Fahrrad",Tabelle21213[[#This Row],[Entfernung (km) gesamt]],0)*Tabelle21213[[#This Row],[Anzahl Studierende ]]</f>
        <v>0</v>
      </c>
    </row>
    <row r="33" spans="2:22" s="8" customFormat="1">
      <c r="B33" s="138"/>
      <c r="C33" s="139"/>
      <c r="D33" s="160"/>
      <c r="E33" s="111"/>
      <c r="F33" s="111"/>
      <c r="G33" s="111"/>
      <c r="H33" s="117">
        <f>Tabelle21213[[#This Row],[Entfernung (km) einfach]]*2</f>
        <v>0</v>
      </c>
      <c r="I33" s="111"/>
      <c r="J33" s="140"/>
      <c r="K33" s="33">
        <f>IF(Tabelle21213[[#This Row],[Verkehrsmittel]]="Bus",Tabelle21213[[#This Row],[Entfernung (km) gesamt]],0)*Tabelle21213[[#This Row],[Anzahl Studierende ]]</f>
        <v>0</v>
      </c>
      <c r="L33" s="33">
        <f>IF(Tabelle21213[[#This Row],[Verkehrsmittel]]="Bahn",Tabelle21213[[#This Row],[Anzahl Studierende ]]*Tabelle21213[[#This Row],[Entfernung (km) gesamt]],0)</f>
        <v>0</v>
      </c>
      <c r="M33" s="33">
        <f>IF(Tabelle21213[[#This Row],[Verkehrsmittel]]="PKW",Tabelle21213[[#This Row],[Anzahl Studierende ]]*Tabelle21213[[#This Row],[Entfernung (km) gesamt]],0)</f>
        <v>0</v>
      </c>
      <c r="N33" s="33">
        <f>IF(Tabelle21213[[#This Row],[Verkehrsmittel]]="Flug", IF(AND(Tabelle21213[[#This Row],[Entfernung (km) einfach]]&lt;500),Tabelle21213[[#This Row],[Entfernung (km) gesamt]]), 0)*Tabelle21213[[#This Row],[Anzahl Studierende ]]</f>
        <v>0</v>
      </c>
      <c r="O33" s="33">
        <f>IF(Tabelle21213[[#This Row],[Verkehrsmittel]]="Flug", IF(AND(Tabelle21213[[#This Row],[Entfernung (km) einfach]]&gt;500,Tabelle21213[[#This Row],[Entfernung (km) einfach]]&lt;1000),Tabelle21213[[#This Row],[Entfernung (km) gesamt]], 0), 0)*Tabelle21213[[#This Row],[Anzahl Studierende ]]</f>
        <v>0</v>
      </c>
      <c r="P33" s="33">
        <f>IF(Tabelle21213[[#This Row],[Verkehrsmittel]]="Flug", IF(AND(Tabelle21213[[#This Row],[Entfernung (km) einfach]]&gt;1000,Tabelle21213[[#This Row],[Entfernung (km) einfach]]&lt;2000),Tabelle21213[[#This Row],[Entfernung (km) gesamt]], 0), 0)*Tabelle21213[[#This Row],[Anzahl Studierende ]]</f>
        <v>0</v>
      </c>
      <c r="Q33" s="33">
        <f>IF(Tabelle21213[[#This Row],[Verkehrsmittel]]="Flug", IF(AND(Tabelle21213[[#This Row],[Entfernung (km) einfach]]&gt;2000,Tabelle21213[[#This Row],[Entfernung (km) einfach]]&lt;5000),Tabelle21213[[#This Row],[Entfernung (km) gesamt]], 0), 0)*Tabelle21213[[#This Row],[Anzahl Studierende ]]</f>
        <v>0</v>
      </c>
      <c r="R33" s="33">
        <f>IF(Tabelle21213[[#This Row],[Verkehrsmittel]]="Flug", IF(AND(Tabelle21213[[#This Row],[Entfernung (km) einfach]]&gt;5000,Tabelle21213[[#This Row],[Entfernung (km) einfach]]&lt;10000),Tabelle21213[[#This Row],[Entfernung (km) gesamt]], 0), 0)*Tabelle21213[[#This Row],[Anzahl Studierende ]]</f>
        <v>0</v>
      </c>
      <c r="S33" s="33">
        <f>IF(Tabelle21213[[#This Row],[Verkehrsmittel]]="Flug", IF(AND(Tabelle21213[[#This Row],[Entfernung (km) einfach]]&gt;10000),Tabelle21213[[#This Row],[Entfernung (km) gesamt]]), 0)*Tabelle21213[[#This Row],[Anzahl Studierende ]]</f>
        <v>0</v>
      </c>
      <c r="T33" s="49">
        <f>IF(Tabelle21213[[#This Row],[Verkehrsmittel]]="Motorrad",Tabelle21213[[#This Row],[Entfernung (km) gesamt]],0)*Tabelle21213[[#This Row],[Anzahl Studierende ]]</f>
        <v>0</v>
      </c>
      <c r="U33" s="49">
        <f>IF(Tabelle21213[[#This Row],[Verkehrsmittel]]="Straßen-, S-, U-Bahn",Tabelle21213[[#This Row],[Entfernung (km) gesamt]],0)*Tabelle21213[[#This Row],[Anzahl Studierende ]]</f>
        <v>0</v>
      </c>
      <c r="V33" s="49">
        <f>IF(Tabelle21213[[#This Row],[Verkehrsmittel]]="Fahrrad",Tabelle21213[[#This Row],[Entfernung (km) gesamt]],0)*Tabelle21213[[#This Row],[Anzahl Studierende ]]</f>
        <v>0</v>
      </c>
    </row>
    <row r="34" spans="2:22" s="8" customFormat="1">
      <c r="B34" s="138"/>
      <c r="C34" s="139"/>
      <c r="D34" s="160"/>
      <c r="E34" s="111"/>
      <c r="F34" s="111"/>
      <c r="G34" s="111"/>
      <c r="H34" s="117">
        <f>Tabelle21213[[#This Row],[Entfernung (km) einfach]]*2</f>
        <v>0</v>
      </c>
      <c r="I34" s="111"/>
      <c r="J34" s="140"/>
      <c r="K34" s="33">
        <f>IF(Tabelle21213[[#This Row],[Verkehrsmittel]]="Bus",Tabelle21213[[#This Row],[Entfernung (km) gesamt]],0)*Tabelle21213[[#This Row],[Anzahl Studierende ]]</f>
        <v>0</v>
      </c>
      <c r="L34" s="33">
        <f>IF(Tabelle21213[[#This Row],[Verkehrsmittel]]="Bahn",Tabelle21213[[#This Row],[Anzahl Studierende ]]*Tabelle21213[[#This Row],[Entfernung (km) gesamt]],0)</f>
        <v>0</v>
      </c>
      <c r="M34" s="33">
        <f>IF(Tabelle21213[[#This Row],[Verkehrsmittel]]="PKW",Tabelle21213[[#This Row],[Anzahl Studierende ]]*Tabelle21213[[#This Row],[Entfernung (km) gesamt]],0)</f>
        <v>0</v>
      </c>
      <c r="N34" s="33">
        <f>IF(Tabelle21213[[#This Row],[Verkehrsmittel]]="Flug", IF(AND(Tabelle21213[[#This Row],[Entfernung (km) einfach]]&lt;500),Tabelle21213[[#This Row],[Entfernung (km) gesamt]]), 0)*Tabelle21213[[#This Row],[Anzahl Studierende ]]</f>
        <v>0</v>
      </c>
      <c r="O34" s="33">
        <f>IF(Tabelle21213[[#This Row],[Verkehrsmittel]]="Flug", IF(AND(Tabelle21213[[#This Row],[Entfernung (km) einfach]]&gt;500,Tabelle21213[[#This Row],[Entfernung (km) einfach]]&lt;1000),Tabelle21213[[#This Row],[Entfernung (km) gesamt]], 0), 0)*Tabelle21213[[#This Row],[Anzahl Studierende ]]</f>
        <v>0</v>
      </c>
      <c r="P34" s="33">
        <f>IF(Tabelle21213[[#This Row],[Verkehrsmittel]]="Flug", IF(AND(Tabelle21213[[#This Row],[Entfernung (km) einfach]]&gt;1000,Tabelle21213[[#This Row],[Entfernung (km) einfach]]&lt;2000),Tabelle21213[[#This Row],[Entfernung (km) gesamt]], 0), 0)*Tabelle21213[[#This Row],[Anzahl Studierende ]]</f>
        <v>0</v>
      </c>
      <c r="Q34" s="33">
        <f>IF(Tabelle21213[[#This Row],[Verkehrsmittel]]="Flug", IF(AND(Tabelle21213[[#This Row],[Entfernung (km) einfach]]&gt;2000,Tabelle21213[[#This Row],[Entfernung (km) einfach]]&lt;5000),Tabelle21213[[#This Row],[Entfernung (km) gesamt]], 0), 0)*Tabelle21213[[#This Row],[Anzahl Studierende ]]</f>
        <v>0</v>
      </c>
      <c r="R34" s="33">
        <f>IF(Tabelle21213[[#This Row],[Verkehrsmittel]]="Flug", IF(AND(Tabelle21213[[#This Row],[Entfernung (km) einfach]]&gt;5000,Tabelle21213[[#This Row],[Entfernung (km) einfach]]&lt;10000),Tabelle21213[[#This Row],[Entfernung (km) gesamt]], 0), 0)*Tabelle21213[[#This Row],[Anzahl Studierende ]]</f>
        <v>0</v>
      </c>
      <c r="S34" s="33">
        <f>IF(Tabelle21213[[#This Row],[Verkehrsmittel]]="Flug", IF(AND(Tabelle21213[[#This Row],[Entfernung (km) einfach]]&gt;10000),Tabelle21213[[#This Row],[Entfernung (km) gesamt]]), 0)*Tabelle21213[[#This Row],[Anzahl Studierende ]]</f>
        <v>0</v>
      </c>
      <c r="T34" s="49">
        <f>IF(Tabelle21213[[#This Row],[Verkehrsmittel]]="Motorrad",Tabelle21213[[#This Row],[Entfernung (km) gesamt]],0)*Tabelle21213[[#This Row],[Anzahl Studierende ]]</f>
        <v>0</v>
      </c>
      <c r="U34" s="49">
        <f>IF(Tabelle21213[[#This Row],[Verkehrsmittel]]="Straßen-, S-, U-Bahn",Tabelle21213[[#This Row],[Entfernung (km) gesamt]],0)*Tabelle21213[[#This Row],[Anzahl Studierende ]]</f>
        <v>0</v>
      </c>
      <c r="V34" s="49">
        <f>IF(Tabelle21213[[#This Row],[Verkehrsmittel]]="Fahrrad",Tabelle21213[[#This Row],[Entfernung (km) gesamt]],0)*Tabelle21213[[#This Row],[Anzahl Studierende ]]</f>
        <v>0</v>
      </c>
    </row>
    <row r="35" spans="2:22" s="8" customFormat="1">
      <c r="B35" s="138"/>
      <c r="C35" s="139"/>
      <c r="D35" s="160"/>
      <c r="E35" s="111"/>
      <c r="F35" s="111"/>
      <c r="G35" s="111"/>
      <c r="H35" s="117">
        <f>Tabelle21213[[#This Row],[Entfernung (km) einfach]]*2</f>
        <v>0</v>
      </c>
      <c r="I35" s="111"/>
      <c r="J35" s="140"/>
      <c r="K35" s="33">
        <f>IF(Tabelle21213[[#This Row],[Verkehrsmittel]]="Bus",Tabelle21213[[#This Row],[Entfernung (km) gesamt]],0)*Tabelle21213[[#This Row],[Anzahl Studierende ]]</f>
        <v>0</v>
      </c>
      <c r="L35" s="33">
        <f>IF(Tabelle21213[[#This Row],[Verkehrsmittel]]="Bahn",Tabelle21213[[#This Row],[Anzahl Studierende ]]*Tabelle21213[[#This Row],[Entfernung (km) gesamt]],0)</f>
        <v>0</v>
      </c>
      <c r="M35" s="33">
        <f>IF(Tabelle21213[[#This Row],[Verkehrsmittel]]="PKW",Tabelle21213[[#This Row],[Anzahl Studierende ]]*Tabelle21213[[#This Row],[Entfernung (km) gesamt]],0)</f>
        <v>0</v>
      </c>
      <c r="N35" s="33">
        <f>IF(Tabelle21213[[#This Row],[Verkehrsmittel]]="Flug", IF(AND(Tabelle21213[[#This Row],[Entfernung (km) einfach]]&lt;500),Tabelle21213[[#This Row],[Entfernung (km) gesamt]]), 0)*Tabelle21213[[#This Row],[Anzahl Studierende ]]</f>
        <v>0</v>
      </c>
      <c r="O35" s="33">
        <f>IF(Tabelle21213[[#This Row],[Verkehrsmittel]]="Flug", IF(AND(Tabelle21213[[#This Row],[Entfernung (km) einfach]]&gt;500,Tabelle21213[[#This Row],[Entfernung (km) einfach]]&lt;1000),Tabelle21213[[#This Row],[Entfernung (km) gesamt]], 0), 0)*Tabelle21213[[#This Row],[Anzahl Studierende ]]</f>
        <v>0</v>
      </c>
      <c r="P35" s="33">
        <f>IF(Tabelle21213[[#This Row],[Verkehrsmittel]]="Flug", IF(AND(Tabelle21213[[#This Row],[Entfernung (km) einfach]]&gt;1000,Tabelle21213[[#This Row],[Entfernung (km) einfach]]&lt;2000),Tabelle21213[[#This Row],[Entfernung (km) gesamt]], 0), 0)*Tabelle21213[[#This Row],[Anzahl Studierende ]]</f>
        <v>0</v>
      </c>
      <c r="Q35" s="33">
        <f>IF(Tabelle21213[[#This Row],[Verkehrsmittel]]="Flug", IF(AND(Tabelle21213[[#This Row],[Entfernung (km) einfach]]&gt;2000,Tabelle21213[[#This Row],[Entfernung (km) einfach]]&lt;5000),Tabelle21213[[#This Row],[Entfernung (km) gesamt]], 0), 0)*Tabelle21213[[#This Row],[Anzahl Studierende ]]</f>
        <v>0</v>
      </c>
      <c r="R35" s="33">
        <f>IF(Tabelle21213[[#This Row],[Verkehrsmittel]]="Flug", IF(AND(Tabelle21213[[#This Row],[Entfernung (km) einfach]]&gt;5000,Tabelle21213[[#This Row],[Entfernung (km) einfach]]&lt;10000),Tabelle21213[[#This Row],[Entfernung (km) gesamt]], 0), 0)*Tabelle21213[[#This Row],[Anzahl Studierende ]]</f>
        <v>0</v>
      </c>
      <c r="S35" s="33">
        <f>IF(Tabelle21213[[#This Row],[Verkehrsmittel]]="Flug", IF(AND(Tabelle21213[[#This Row],[Entfernung (km) einfach]]&gt;10000),Tabelle21213[[#This Row],[Entfernung (km) gesamt]]), 0)*Tabelle21213[[#This Row],[Anzahl Studierende ]]</f>
        <v>0</v>
      </c>
      <c r="T35" s="49">
        <f>IF(Tabelle21213[[#This Row],[Verkehrsmittel]]="Motorrad",Tabelle21213[[#This Row],[Entfernung (km) gesamt]],0)*Tabelle21213[[#This Row],[Anzahl Studierende ]]</f>
        <v>0</v>
      </c>
      <c r="U35" s="49">
        <f>IF(Tabelle21213[[#This Row],[Verkehrsmittel]]="Straßen-, S-, U-Bahn",Tabelle21213[[#This Row],[Entfernung (km) gesamt]],0)*Tabelle21213[[#This Row],[Anzahl Studierende ]]</f>
        <v>0</v>
      </c>
      <c r="V35" s="49">
        <f>IF(Tabelle21213[[#This Row],[Verkehrsmittel]]="Fahrrad",Tabelle21213[[#This Row],[Entfernung (km) gesamt]],0)*Tabelle21213[[#This Row],[Anzahl Studierende ]]</f>
        <v>0</v>
      </c>
    </row>
    <row r="36" spans="2:22" s="8" customFormat="1">
      <c r="B36" s="138"/>
      <c r="C36" s="139"/>
      <c r="D36" s="160"/>
      <c r="E36" s="111"/>
      <c r="F36" s="111"/>
      <c r="G36" s="111"/>
      <c r="H36" s="117">
        <f>Tabelle21213[[#This Row],[Entfernung (km) einfach]]*2</f>
        <v>0</v>
      </c>
      <c r="I36" s="111"/>
      <c r="J36" s="140"/>
      <c r="K36" s="33">
        <f>IF(Tabelle21213[[#This Row],[Verkehrsmittel]]="Bus",Tabelle21213[[#This Row],[Entfernung (km) gesamt]],0)*Tabelle21213[[#This Row],[Anzahl Studierende ]]</f>
        <v>0</v>
      </c>
      <c r="L36" s="33">
        <f>IF(Tabelle21213[[#This Row],[Verkehrsmittel]]="Bahn",Tabelle21213[[#This Row],[Anzahl Studierende ]]*Tabelle21213[[#This Row],[Entfernung (km) gesamt]],0)</f>
        <v>0</v>
      </c>
      <c r="M36" s="33">
        <f>IF(Tabelle21213[[#This Row],[Verkehrsmittel]]="PKW",Tabelle21213[[#This Row],[Anzahl Studierende ]]*Tabelle21213[[#This Row],[Entfernung (km) gesamt]],0)</f>
        <v>0</v>
      </c>
      <c r="N36" s="33">
        <f>IF(Tabelle21213[[#This Row],[Verkehrsmittel]]="Flug", IF(AND(Tabelle21213[[#This Row],[Entfernung (km) einfach]]&lt;500),Tabelle21213[[#This Row],[Entfernung (km) gesamt]]), 0)*Tabelle21213[[#This Row],[Anzahl Studierende ]]</f>
        <v>0</v>
      </c>
      <c r="O36" s="33">
        <f>IF(Tabelle21213[[#This Row],[Verkehrsmittel]]="Flug", IF(AND(Tabelle21213[[#This Row],[Entfernung (km) einfach]]&gt;500,Tabelle21213[[#This Row],[Entfernung (km) einfach]]&lt;1000),Tabelle21213[[#This Row],[Entfernung (km) gesamt]], 0), 0)*Tabelle21213[[#This Row],[Anzahl Studierende ]]</f>
        <v>0</v>
      </c>
      <c r="P36" s="33">
        <f>IF(Tabelle21213[[#This Row],[Verkehrsmittel]]="Flug", IF(AND(Tabelle21213[[#This Row],[Entfernung (km) einfach]]&gt;1000,Tabelle21213[[#This Row],[Entfernung (km) einfach]]&lt;2000),Tabelle21213[[#This Row],[Entfernung (km) gesamt]], 0), 0)*Tabelle21213[[#This Row],[Anzahl Studierende ]]</f>
        <v>0</v>
      </c>
      <c r="Q36" s="33">
        <f>IF(Tabelle21213[[#This Row],[Verkehrsmittel]]="Flug", IF(AND(Tabelle21213[[#This Row],[Entfernung (km) einfach]]&gt;2000,Tabelle21213[[#This Row],[Entfernung (km) einfach]]&lt;5000),Tabelle21213[[#This Row],[Entfernung (km) gesamt]], 0), 0)*Tabelle21213[[#This Row],[Anzahl Studierende ]]</f>
        <v>0</v>
      </c>
      <c r="R36" s="33">
        <f>IF(Tabelle21213[[#This Row],[Verkehrsmittel]]="Flug", IF(AND(Tabelle21213[[#This Row],[Entfernung (km) einfach]]&gt;5000,Tabelle21213[[#This Row],[Entfernung (km) einfach]]&lt;10000),Tabelle21213[[#This Row],[Entfernung (km) gesamt]], 0), 0)*Tabelle21213[[#This Row],[Anzahl Studierende ]]</f>
        <v>0</v>
      </c>
      <c r="S36" s="33">
        <f>IF(Tabelle21213[[#This Row],[Verkehrsmittel]]="Flug", IF(AND(Tabelle21213[[#This Row],[Entfernung (km) einfach]]&gt;10000),Tabelle21213[[#This Row],[Entfernung (km) gesamt]]), 0)*Tabelle21213[[#This Row],[Anzahl Studierende ]]</f>
        <v>0</v>
      </c>
      <c r="T36" s="49">
        <f>IF(Tabelle21213[[#This Row],[Verkehrsmittel]]="Motorrad",Tabelle21213[[#This Row],[Entfernung (km) gesamt]],0)*Tabelle21213[[#This Row],[Anzahl Studierende ]]</f>
        <v>0</v>
      </c>
      <c r="U36" s="49">
        <f>IF(Tabelle21213[[#This Row],[Verkehrsmittel]]="Straßen-, S-, U-Bahn",Tabelle21213[[#This Row],[Entfernung (km) gesamt]],0)*Tabelle21213[[#This Row],[Anzahl Studierende ]]</f>
        <v>0</v>
      </c>
      <c r="V36" s="49">
        <f>IF(Tabelle21213[[#This Row],[Verkehrsmittel]]="Fahrrad",Tabelle21213[[#This Row],[Entfernung (km) gesamt]],0)*Tabelle21213[[#This Row],[Anzahl Studierende ]]</f>
        <v>0</v>
      </c>
    </row>
    <row r="37" spans="2:22" s="8" customFormat="1">
      <c r="B37" s="138"/>
      <c r="C37" s="139"/>
      <c r="D37" s="160"/>
      <c r="E37" s="111"/>
      <c r="F37" s="111"/>
      <c r="G37" s="111"/>
      <c r="H37" s="117">
        <f>Tabelle21213[[#This Row],[Entfernung (km) einfach]]*2</f>
        <v>0</v>
      </c>
      <c r="I37" s="111"/>
      <c r="J37" s="140"/>
      <c r="K37" s="33">
        <f>IF(Tabelle21213[[#This Row],[Verkehrsmittel]]="Bus",Tabelle21213[[#This Row],[Entfernung (km) gesamt]],0)*Tabelle21213[[#This Row],[Anzahl Studierende ]]</f>
        <v>0</v>
      </c>
      <c r="L37" s="33">
        <f>IF(Tabelle21213[[#This Row],[Verkehrsmittel]]="Bahn",Tabelle21213[[#This Row],[Anzahl Studierende ]]*Tabelle21213[[#This Row],[Entfernung (km) gesamt]],0)</f>
        <v>0</v>
      </c>
      <c r="M37" s="33">
        <f>IF(Tabelle21213[[#This Row],[Verkehrsmittel]]="PKW",Tabelle21213[[#This Row],[Anzahl Studierende ]]*Tabelle21213[[#This Row],[Entfernung (km) gesamt]],0)</f>
        <v>0</v>
      </c>
      <c r="N37" s="33">
        <f>IF(Tabelle21213[[#This Row],[Verkehrsmittel]]="Flug", IF(AND(Tabelle21213[[#This Row],[Entfernung (km) einfach]]&lt;500),Tabelle21213[[#This Row],[Entfernung (km) gesamt]]), 0)*Tabelle21213[[#This Row],[Anzahl Studierende ]]</f>
        <v>0</v>
      </c>
      <c r="O37" s="33">
        <f>IF(Tabelle21213[[#This Row],[Verkehrsmittel]]="Flug", IF(AND(Tabelle21213[[#This Row],[Entfernung (km) einfach]]&gt;500,Tabelle21213[[#This Row],[Entfernung (km) einfach]]&lt;1000),Tabelle21213[[#This Row],[Entfernung (km) gesamt]], 0), 0)*Tabelle21213[[#This Row],[Anzahl Studierende ]]</f>
        <v>0</v>
      </c>
      <c r="P37" s="33">
        <f>IF(Tabelle21213[[#This Row],[Verkehrsmittel]]="Flug", IF(AND(Tabelle21213[[#This Row],[Entfernung (km) einfach]]&gt;1000,Tabelle21213[[#This Row],[Entfernung (km) einfach]]&lt;2000),Tabelle21213[[#This Row],[Entfernung (km) gesamt]], 0), 0)*Tabelle21213[[#This Row],[Anzahl Studierende ]]</f>
        <v>0</v>
      </c>
      <c r="Q37" s="33">
        <f>IF(Tabelle21213[[#This Row],[Verkehrsmittel]]="Flug", IF(AND(Tabelle21213[[#This Row],[Entfernung (km) einfach]]&gt;2000,Tabelle21213[[#This Row],[Entfernung (km) einfach]]&lt;5000),Tabelle21213[[#This Row],[Entfernung (km) gesamt]], 0), 0)*Tabelle21213[[#This Row],[Anzahl Studierende ]]</f>
        <v>0</v>
      </c>
      <c r="R37" s="33">
        <f>IF(Tabelle21213[[#This Row],[Verkehrsmittel]]="Flug", IF(AND(Tabelle21213[[#This Row],[Entfernung (km) einfach]]&gt;5000,Tabelle21213[[#This Row],[Entfernung (km) einfach]]&lt;10000),Tabelle21213[[#This Row],[Entfernung (km) gesamt]], 0), 0)*Tabelle21213[[#This Row],[Anzahl Studierende ]]</f>
        <v>0</v>
      </c>
      <c r="S37" s="33">
        <f>IF(Tabelle21213[[#This Row],[Verkehrsmittel]]="Flug", IF(AND(Tabelle21213[[#This Row],[Entfernung (km) einfach]]&gt;10000),Tabelle21213[[#This Row],[Entfernung (km) gesamt]]), 0)*Tabelle21213[[#This Row],[Anzahl Studierende ]]</f>
        <v>0</v>
      </c>
      <c r="T37" s="49">
        <f>IF(Tabelle21213[[#This Row],[Verkehrsmittel]]="Motorrad",Tabelle21213[[#This Row],[Entfernung (km) gesamt]],0)*Tabelle21213[[#This Row],[Anzahl Studierende ]]</f>
        <v>0</v>
      </c>
      <c r="U37" s="49">
        <f>IF(Tabelle21213[[#This Row],[Verkehrsmittel]]="Straßen-, S-, U-Bahn",Tabelle21213[[#This Row],[Entfernung (km) gesamt]],0)*Tabelle21213[[#This Row],[Anzahl Studierende ]]</f>
        <v>0</v>
      </c>
      <c r="V37" s="49">
        <f>IF(Tabelle21213[[#This Row],[Verkehrsmittel]]="Fahrrad",Tabelle21213[[#This Row],[Entfernung (km) gesamt]],0)*Tabelle21213[[#This Row],[Anzahl Studierende ]]</f>
        <v>0</v>
      </c>
    </row>
    <row r="38" spans="2:22" s="8" customFormat="1">
      <c r="B38" s="138"/>
      <c r="C38" s="139"/>
      <c r="D38" s="160"/>
      <c r="E38" s="111"/>
      <c r="F38" s="111"/>
      <c r="G38" s="111"/>
      <c r="H38" s="117">
        <f>Tabelle21213[[#This Row],[Entfernung (km) einfach]]*2</f>
        <v>0</v>
      </c>
      <c r="I38" s="111"/>
      <c r="J38" s="140"/>
      <c r="K38" s="33">
        <f>IF(Tabelle21213[[#This Row],[Verkehrsmittel]]="Bus",Tabelle21213[[#This Row],[Entfernung (km) gesamt]],0)*Tabelle21213[[#This Row],[Anzahl Studierende ]]</f>
        <v>0</v>
      </c>
      <c r="L38" s="33">
        <f>IF(Tabelle21213[[#This Row],[Verkehrsmittel]]="Bahn",Tabelle21213[[#This Row],[Anzahl Studierende ]]*Tabelle21213[[#This Row],[Entfernung (km) gesamt]],0)</f>
        <v>0</v>
      </c>
      <c r="M38" s="33">
        <f>IF(Tabelle21213[[#This Row],[Verkehrsmittel]]="PKW",Tabelle21213[[#This Row],[Anzahl Studierende ]]*Tabelle21213[[#This Row],[Entfernung (km) gesamt]],0)</f>
        <v>0</v>
      </c>
      <c r="N38" s="33">
        <f>IF(Tabelle21213[[#This Row],[Verkehrsmittel]]="Flug", IF(AND(Tabelle21213[[#This Row],[Entfernung (km) einfach]]&lt;500),Tabelle21213[[#This Row],[Entfernung (km) gesamt]]), 0)*Tabelle21213[[#This Row],[Anzahl Studierende ]]</f>
        <v>0</v>
      </c>
      <c r="O38" s="33">
        <f>IF(Tabelle21213[[#This Row],[Verkehrsmittel]]="Flug", IF(AND(Tabelle21213[[#This Row],[Entfernung (km) einfach]]&gt;500,Tabelle21213[[#This Row],[Entfernung (km) einfach]]&lt;1000),Tabelle21213[[#This Row],[Entfernung (km) gesamt]], 0), 0)*Tabelle21213[[#This Row],[Anzahl Studierende ]]</f>
        <v>0</v>
      </c>
      <c r="P38" s="33">
        <f>IF(Tabelle21213[[#This Row],[Verkehrsmittel]]="Flug", IF(AND(Tabelle21213[[#This Row],[Entfernung (km) einfach]]&gt;1000,Tabelle21213[[#This Row],[Entfernung (km) einfach]]&lt;2000),Tabelle21213[[#This Row],[Entfernung (km) gesamt]], 0), 0)*Tabelle21213[[#This Row],[Anzahl Studierende ]]</f>
        <v>0</v>
      </c>
      <c r="Q38" s="33">
        <f>IF(Tabelle21213[[#This Row],[Verkehrsmittel]]="Flug", IF(AND(Tabelle21213[[#This Row],[Entfernung (km) einfach]]&gt;2000,Tabelle21213[[#This Row],[Entfernung (km) einfach]]&lt;5000),Tabelle21213[[#This Row],[Entfernung (km) gesamt]], 0), 0)*Tabelle21213[[#This Row],[Anzahl Studierende ]]</f>
        <v>0</v>
      </c>
      <c r="R38" s="33">
        <f>IF(Tabelle21213[[#This Row],[Verkehrsmittel]]="Flug", IF(AND(Tabelle21213[[#This Row],[Entfernung (km) einfach]]&gt;5000,Tabelle21213[[#This Row],[Entfernung (km) einfach]]&lt;10000),Tabelle21213[[#This Row],[Entfernung (km) gesamt]], 0), 0)*Tabelle21213[[#This Row],[Anzahl Studierende ]]</f>
        <v>0</v>
      </c>
      <c r="S38" s="33">
        <f>IF(Tabelle21213[[#This Row],[Verkehrsmittel]]="Flug", IF(AND(Tabelle21213[[#This Row],[Entfernung (km) einfach]]&gt;10000),Tabelle21213[[#This Row],[Entfernung (km) gesamt]]), 0)*Tabelle21213[[#This Row],[Anzahl Studierende ]]</f>
        <v>0</v>
      </c>
      <c r="T38" s="49">
        <f>IF(Tabelle21213[[#This Row],[Verkehrsmittel]]="Motorrad",Tabelle21213[[#This Row],[Entfernung (km) gesamt]],0)*Tabelle21213[[#This Row],[Anzahl Studierende ]]</f>
        <v>0</v>
      </c>
      <c r="U38" s="49">
        <f>IF(Tabelle21213[[#This Row],[Verkehrsmittel]]="Straßen-, S-, U-Bahn",Tabelle21213[[#This Row],[Entfernung (km) gesamt]],0)*Tabelle21213[[#This Row],[Anzahl Studierende ]]</f>
        <v>0</v>
      </c>
      <c r="V38" s="49">
        <f>IF(Tabelle21213[[#This Row],[Verkehrsmittel]]="Fahrrad",Tabelle21213[[#This Row],[Entfernung (km) gesamt]],0)*Tabelle21213[[#This Row],[Anzahl Studierende ]]</f>
        <v>0</v>
      </c>
    </row>
    <row r="39" spans="2:22" s="8" customFormat="1" ht="14.4" thickBot="1">
      <c r="B39" s="141"/>
      <c r="C39" s="142"/>
      <c r="D39" s="162"/>
      <c r="E39" s="122"/>
      <c r="F39" s="122"/>
      <c r="G39" s="122"/>
      <c r="H39" s="143">
        <f>Tabelle21213[[#This Row],[Entfernung (km) einfach]]*2</f>
        <v>0</v>
      </c>
      <c r="I39" s="122"/>
      <c r="J39" s="144"/>
      <c r="K39" s="33">
        <f>IF(Tabelle21213[[#This Row],[Verkehrsmittel]]="Bus",Tabelle21213[[#This Row],[Entfernung (km) gesamt]],0)*Tabelle21213[[#This Row],[Anzahl Studierende ]]</f>
        <v>0</v>
      </c>
      <c r="L39" s="33">
        <f>IF(Tabelle21213[[#This Row],[Verkehrsmittel]]="Bahn",Tabelle21213[[#This Row],[Anzahl Studierende ]]*Tabelle21213[[#This Row],[Entfernung (km) gesamt]],0)</f>
        <v>0</v>
      </c>
      <c r="M39" s="33">
        <f>IF(Tabelle21213[[#This Row],[Verkehrsmittel]]="PKW",Tabelle21213[[#This Row],[Anzahl Studierende ]]*Tabelle21213[[#This Row],[Entfernung (km) gesamt]],0)</f>
        <v>0</v>
      </c>
      <c r="N39" s="33">
        <f>IF(Tabelle21213[[#This Row],[Verkehrsmittel]]="Flug", IF(AND(Tabelle21213[[#This Row],[Entfernung (km) einfach]]&lt;500),Tabelle21213[[#This Row],[Entfernung (km) gesamt]]), 0)*Tabelle21213[[#This Row],[Anzahl Studierende ]]</f>
        <v>0</v>
      </c>
      <c r="O39" s="33">
        <f>IF(Tabelle21213[[#This Row],[Verkehrsmittel]]="Flug", IF(AND(Tabelle21213[[#This Row],[Entfernung (km) einfach]]&gt;500,Tabelle21213[[#This Row],[Entfernung (km) einfach]]&lt;1000),Tabelle21213[[#This Row],[Entfernung (km) gesamt]], 0), 0)*Tabelle21213[[#This Row],[Anzahl Studierende ]]</f>
        <v>0</v>
      </c>
      <c r="P39" s="33">
        <f>IF(Tabelle21213[[#This Row],[Verkehrsmittel]]="Flug", IF(AND(Tabelle21213[[#This Row],[Entfernung (km) einfach]]&gt;1000,Tabelle21213[[#This Row],[Entfernung (km) einfach]]&lt;2000),Tabelle21213[[#This Row],[Entfernung (km) gesamt]], 0), 0)*Tabelle21213[[#This Row],[Anzahl Studierende ]]</f>
        <v>0</v>
      </c>
      <c r="Q39" s="33">
        <f>IF(Tabelle21213[[#This Row],[Verkehrsmittel]]="Flug", IF(AND(Tabelle21213[[#This Row],[Entfernung (km) einfach]]&gt;2000,Tabelle21213[[#This Row],[Entfernung (km) einfach]]&lt;5000),Tabelle21213[[#This Row],[Entfernung (km) gesamt]], 0), 0)*Tabelle21213[[#This Row],[Anzahl Studierende ]]</f>
        <v>0</v>
      </c>
      <c r="R39" s="33">
        <f>IF(Tabelle21213[[#This Row],[Verkehrsmittel]]="Flug", IF(AND(Tabelle21213[[#This Row],[Entfernung (km) einfach]]&gt;5000,Tabelle21213[[#This Row],[Entfernung (km) einfach]]&lt;10000),Tabelle21213[[#This Row],[Entfernung (km) gesamt]], 0), 0)*Tabelle21213[[#This Row],[Anzahl Studierende ]]</f>
        <v>0</v>
      </c>
      <c r="S39" s="33">
        <f>IF(Tabelle21213[[#This Row],[Verkehrsmittel]]="Flug", IF(AND(Tabelle21213[[#This Row],[Entfernung (km) einfach]]&gt;10000),Tabelle21213[[#This Row],[Entfernung (km) gesamt]]), 0)*Tabelle21213[[#This Row],[Anzahl Studierende ]]</f>
        <v>0</v>
      </c>
      <c r="T39" s="49">
        <f>IF(Tabelle21213[[#This Row],[Verkehrsmittel]]="Motorrad",Tabelle21213[[#This Row],[Entfernung (km) gesamt]],0)*Tabelle21213[[#This Row],[Anzahl Studierende ]]</f>
        <v>0</v>
      </c>
      <c r="U39" s="49">
        <f>IF(Tabelle21213[[#This Row],[Verkehrsmittel]]="Straßen-, S-, U-Bahn",Tabelle21213[[#This Row],[Entfernung (km) gesamt]],0)*Tabelle21213[[#This Row],[Anzahl Studierende ]]</f>
        <v>0</v>
      </c>
      <c r="V39" s="49">
        <f>IF(Tabelle21213[[#This Row],[Verkehrsmittel]]="Fahrrad",Tabelle21213[[#This Row],[Entfernung (km) gesamt]],0)*Tabelle21213[[#This Row],[Anzahl Studierende ]]</f>
        <v>0</v>
      </c>
    </row>
    <row r="40" spans="2:22" s="8" customFormat="1" ht="14.4" thickBot="1">
      <c r="B40" s="163"/>
      <c r="C40" s="164"/>
      <c r="D40" s="165"/>
      <c r="E40" s="164"/>
      <c r="F40" s="164"/>
      <c r="G40" s="164"/>
      <c r="H40" s="164"/>
      <c r="I40" s="164"/>
      <c r="J40" s="166"/>
      <c r="K40" s="10">
        <f>SUM(Tabelle21213[Km Bus])</f>
        <v>0</v>
      </c>
      <c r="L40" s="10">
        <f>SUM(Tabelle21213[Km Bahn])</f>
        <v>0</v>
      </c>
      <c r="M40" s="10">
        <f>SUM(Tabelle21213[Km PKW])</f>
        <v>0</v>
      </c>
      <c r="N40" s="10">
        <f>SUM(Tabelle21213[Flug bis 500])</f>
        <v>0</v>
      </c>
      <c r="O40" s="10">
        <f>SUM(Tabelle21213[Flug 500 - 1000 km])</f>
        <v>0</v>
      </c>
      <c r="P40" s="10">
        <f>SUM(Tabelle21213[Flug 1000 - 2000])</f>
        <v>0</v>
      </c>
      <c r="Q40" s="10">
        <f>SUM(Tabelle21213[Flug 2000 - 5000])</f>
        <v>0</v>
      </c>
      <c r="R40" s="10">
        <f>SUM(Tabelle21213[Flug 5000 - 10000])</f>
        <v>0</v>
      </c>
      <c r="S40" s="10">
        <f>SUM(Tabelle21213[Flug über 10000])</f>
        <v>0</v>
      </c>
      <c r="T40" s="10">
        <f>SUM(Tabelle21213[Motorrad])</f>
        <v>0</v>
      </c>
      <c r="U40" s="10">
        <f>SUM(Tabelle21213[Straßen-, S-, U-Bahn])</f>
        <v>0</v>
      </c>
      <c r="V40" s="10">
        <f>SUM(Tabelle21213[Fahrrad])</f>
        <v>0</v>
      </c>
    </row>
  </sheetData>
  <sheetProtection algorithmName="SHA-512" hashValue="JsZeuPGnLfqJ3rDwhIkZNXz7qHgVEHhCYY6M3DJVAf1daLp1VHaWbvKwVEavBVm2K0Mt/3cwP0EJ+tImiWu1cA==" saltValue="rccArfRbgNyKspdt0jFebQ==" spinCount="100000" sheet="1" objects="1" formatCells="0" formatColumns="0" formatRows="0" insertColumns="0" insertRows="0" insertHyperlinks="0" deleteColumns="0" deleteRows="0" sort="0" autoFilter="0" pivotTables="0"/>
  <mergeCells count="2">
    <mergeCell ref="B5:C5"/>
    <mergeCell ref="F2:G5"/>
  </mergeCells>
  <phoneticPr fontId="3" type="noConversion"/>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F9B92E08-3409-4964-80B4-AFFFD989C6A3}">
          <x14:formula1>
            <xm:f>Hilfstabelle!$A$1:$A$8</xm:f>
          </x14:formula1>
          <xm:sqref>I8:I39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1"/>
  <sheetViews>
    <sheetView workbookViewId="0">
      <selection activeCell="A10" sqref="A10"/>
    </sheetView>
  </sheetViews>
  <sheetFormatPr baseColWidth="10" defaultRowHeight="13.8"/>
  <cols>
    <col min="1" max="1" width="33.8984375" bestFit="1" customWidth="1"/>
    <col min="3" max="3" width="33.09765625" bestFit="1" customWidth="1"/>
  </cols>
  <sheetData>
    <row r="1" spans="1:1">
      <c r="A1" t="s">
        <v>8</v>
      </c>
    </row>
    <row r="2" spans="1:1">
      <c r="A2" t="s">
        <v>7</v>
      </c>
    </row>
    <row r="3" spans="1:1">
      <c r="A3" t="s">
        <v>10</v>
      </c>
    </row>
    <row r="4" spans="1:1">
      <c r="A4" t="s">
        <v>9</v>
      </c>
    </row>
    <row r="5" spans="1:1">
      <c r="A5" t="s">
        <v>11</v>
      </c>
    </row>
    <row r="6" spans="1:1">
      <c r="A6" t="s">
        <v>34</v>
      </c>
    </row>
    <row r="7" spans="1:1">
      <c r="A7" t="s">
        <v>33</v>
      </c>
    </row>
    <row r="8" spans="1:1">
      <c r="A8" t="s">
        <v>12</v>
      </c>
    </row>
    <row r="19" spans="2:2">
      <c r="B19" s="4"/>
    </row>
    <row r="20" spans="2:2">
      <c r="B20" s="4"/>
    </row>
    <row r="21" spans="2:2">
      <c r="B21" s="4"/>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workbookViewId="0">
      <selection activeCell="B20" sqref="B20:V20"/>
    </sheetView>
  </sheetViews>
  <sheetFormatPr baseColWidth="10" defaultRowHeight="13.8"/>
  <cols>
    <col min="1" max="1" width="23.69921875" customWidth="1"/>
    <col min="2" max="2" width="12" customWidth="1"/>
    <col min="5" max="5" width="20.8984375" bestFit="1" customWidth="1"/>
    <col min="6" max="6" width="21.59765625" bestFit="1" customWidth="1"/>
    <col min="7" max="8" width="24.3984375" bestFit="1" customWidth="1"/>
    <col min="9" max="9" width="24.19921875" bestFit="1" customWidth="1"/>
    <col min="10" max="10" width="26.59765625" bestFit="1" customWidth="1"/>
    <col min="11" max="11" width="27.09765625" customWidth="1"/>
    <col min="12" max="20" width="11.19921875" hidden="1" customWidth="1"/>
    <col min="21" max="23" width="0" hidden="1" customWidth="1"/>
  </cols>
  <sheetData>
    <row r="1" spans="1:22" ht="14.4" thickBot="1">
      <c r="B1" s="20"/>
      <c r="C1" s="20"/>
      <c r="D1" s="20"/>
      <c r="E1" s="20"/>
      <c r="F1" s="20"/>
      <c r="G1" s="20"/>
      <c r="H1" s="20"/>
      <c r="I1" s="20"/>
      <c r="J1" s="20"/>
      <c r="K1" s="20"/>
    </row>
    <row r="2" spans="1:22" ht="14.4" thickBot="1">
      <c r="B2" s="20"/>
      <c r="C2" s="20"/>
      <c r="D2" s="20"/>
      <c r="E2" s="20"/>
      <c r="F2" s="94" t="s">
        <v>51</v>
      </c>
      <c r="G2" s="95"/>
      <c r="H2" s="20"/>
      <c r="I2" s="20"/>
      <c r="J2" s="20"/>
      <c r="K2" s="20"/>
    </row>
    <row r="3" spans="1:22" ht="14.4" thickBot="1">
      <c r="A3" s="1" t="s">
        <v>19</v>
      </c>
      <c r="B3" s="50" t="s">
        <v>35</v>
      </c>
      <c r="C3" s="51"/>
      <c r="D3" s="20"/>
      <c r="E3" s="20"/>
      <c r="F3" s="96"/>
      <c r="G3" s="97"/>
      <c r="H3" s="20"/>
      <c r="I3" s="20"/>
      <c r="J3" s="20"/>
      <c r="K3" s="20"/>
    </row>
    <row r="4" spans="1:22" ht="14.4" thickBot="1">
      <c r="B4" s="20"/>
      <c r="C4" s="98"/>
      <c r="D4" s="20"/>
      <c r="E4" s="20"/>
      <c r="F4" s="96"/>
      <c r="G4" s="97"/>
      <c r="H4" s="20"/>
      <c r="I4" s="20"/>
      <c r="J4" s="20"/>
      <c r="K4" s="20"/>
    </row>
    <row r="5" spans="1:22" ht="14.4" thickBot="1">
      <c r="A5" s="1" t="s">
        <v>37</v>
      </c>
      <c r="B5" s="50"/>
      <c r="C5" s="51"/>
      <c r="D5" s="20"/>
      <c r="E5" s="20"/>
      <c r="F5" s="99"/>
      <c r="G5" s="100"/>
      <c r="H5" s="20"/>
      <c r="I5" s="20"/>
      <c r="J5" s="20"/>
      <c r="K5" s="20"/>
    </row>
    <row r="6" spans="1:22" ht="14.4" thickBot="1">
      <c r="A6" s="1"/>
      <c r="B6" s="32"/>
      <c r="C6" s="20"/>
      <c r="D6" s="20"/>
      <c r="E6" s="20"/>
      <c r="F6" s="20"/>
      <c r="G6" s="20"/>
      <c r="H6" s="20"/>
      <c r="I6" s="20"/>
      <c r="J6" s="20"/>
      <c r="K6" s="20"/>
    </row>
    <row r="7" spans="1:22" ht="14.4" thickBot="1">
      <c r="B7" s="101" t="s">
        <v>0</v>
      </c>
      <c r="C7" s="102" t="s">
        <v>1</v>
      </c>
      <c r="D7" s="102" t="s">
        <v>2</v>
      </c>
      <c r="E7" s="102" t="s">
        <v>3</v>
      </c>
      <c r="F7" s="102" t="s">
        <v>4</v>
      </c>
      <c r="G7" s="102" t="s">
        <v>16</v>
      </c>
      <c r="H7" s="102" t="s">
        <v>22</v>
      </c>
      <c r="I7" s="102" t="s">
        <v>5</v>
      </c>
      <c r="J7" s="102" t="s">
        <v>6</v>
      </c>
      <c r="K7" s="103" t="s">
        <v>13</v>
      </c>
      <c r="L7" t="s">
        <v>14</v>
      </c>
      <c r="M7" t="s">
        <v>15</v>
      </c>
      <c r="N7" t="s">
        <v>23</v>
      </c>
      <c r="O7" t="s">
        <v>24</v>
      </c>
      <c r="P7" t="s">
        <v>17</v>
      </c>
      <c r="Q7" t="s">
        <v>20</v>
      </c>
      <c r="R7" t="s">
        <v>18</v>
      </c>
      <c r="S7" t="s">
        <v>21</v>
      </c>
      <c r="T7" s="9" t="s">
        <v>33</v>
      </c>
      <c r="U7" s="9" t="s">
        <v>34</v>
      </c>
      <c r="V7" s="9" t="s">
        <v>10</v>
      </c>
    </row>
    <row r="8" spans="1:22">
      <c r="B8" s="104"/>
      <c r="C8" s="105"/>
      <c r="D8" s="106"/>
      <c r="E8" s="107"/>
      <c r="F8" s="107"/>
      <c r="G8" s="106"/>
      <c r="H8" s="111">
        <f>Tabelle2[[#This Row],[Entfernung (km) einfach]]*2</f>
        <v>0</v>
      </c>
      <c r="I8" s="102"/>
      <c r="J8" s="102"/>
      <c r="K8" s="108">
        <f>IF(Tabelle2[[#This Row],[Verkehrsmittel]]="Bus",Tabelle2[[#This Row],[Entfernung (km) gesamt]],0)*Tabelle2[[#This Row],[Anzahl Studierende ]]</f>
        <v>0</v>
      </c>
      <c r="L8" s="25">
        <f>IF(Tabelle2[[#This Row],[Verkehrsmittel]]="Bahn",Tabelle2[[#This Row],[Anzahl Studierende ]]*Tabelle2[[#This Row],[Entfernung (km) gesamt]],0)</f>
        <v>0</v>
      </c>
      <c r="M8" s="25">
        <f>IF(Tabelle2[[#This Row],[Verkehrsmittel]]="PKW",Tabelle2[[#This Row],[Anzahl Studierende ]]*Tabelle2[[#This Row],[Entfernung (km) gesamt]],0)</f>
        <v>0</v>
      </c>
      <c r="N8" s="25">
        <f>IF(Tabelle2[[#This Row],[Verkehrsmittel]]="Flug", IF(AND(Tabelle2[[#This Row],[Entfernung (km) einfach]]&lt;500),Tabelle2[[#This Row],[Entfernung (km) gesamt]]), 0)*Tabelle2[[#This Row],[Anzahl Studierende ]]</f>
        <v>0</v>
      </c>
      <c r="O8" s="25">
        <f>IF(Tabelle2[[#This Row],[Verkehrsmittel]]="Flug", IF(AND(Tabelle2[[#This Row],[Entfernung (km) einfach]]&gt;500,Tabelle2[[#This Row],[Entfernung (km) einfach]]&lt;1000),Tabelle2[[#This Row],[Entfernung (km) gesamt]], 0), 0)*Tabelle2[[#This Row],[Anzahl Studierende ]]</f>
        <v>0</v>
      </c>
      <c r="P8" s="25">
        <f>IF(Tabelle2[[#This Row],[Verkehrsmittel]]="Flug", IF(AND(Tabelle2[[#This Row],[Entfernung (km) einfach]]&gt;1000,Tabelle2[[#This Row],[Entfernung (km) einfach]]&lt;2000),Tabelle2[[#This Row],[Entfernung (km) gesamt]], 0), 0)*Tabelle2[[#This Row],[Anzahl Studierende ]]</f>
        <v>0</v>
      </c>
      <c r="Q8" s="25">
        <f>IF(Tabelle2[[#This Row],[Verkehrsmittel]]="Flug", IF(AND(Tabelle2[[#This Row],[Entfernung (km) einfach]]&gt;2000,Tabelle2[[#This Row],[Entfernung (km) einfach]]&lt;5000),Tabelle2[[#This Row],[Entfernung (km) gesamt]], 0), 0)*Tabelle2[[#This Row],[Anzahl Studierende ]]</f>
        <v>0</v>
      </c>
      <c r="R8" s="25">
        <f>IF(Tabelle2[[#This Row],[Verkehrsmittel]]="Flug", IF(AND(Tabelle2[[#This Row],[Entfernung (km) einfach]]&gt;5000,Tabelle2[[#This Row],[Entfernung (km) einfach]]&lt;10000),Tabelle2[[#This Row],[Entfernung (km) gesamt]], 0), 0)*Tabelle2[[#This Row],[Anzahl Studierende ]]</f>
        <v>0</v>
      </c>
      <c r="S8" s="25">
        <f>IF(Tabelle2[[#This Row],[Verkehrsmittel]]="Flug", IF(AND(Tabelle2[[#This Row],[Entfernung (km) einfach]]&gt;10000),Tabelle2[[#This Row],[Entfernung (km) gesamt]]), 0)*Tabelle2[[#This Row],[Anzahl Studierende ]]</f>
        <v>0</v>
      </c>
      <c r="T8" s="26">
        <f>IF(Tabelle2[[#This Row],[Verkehrsmittel]]="Motorrad",Tabelle2[[#This Row],[Entfernung (km) gesamt]],0)*Tabelle2[[#This Row],[Anzahl Studierende ]]</f>
        <v>0</v>
      </c>
      <c r="U8" s="26">
        <f>IF(Tabelle2[[#This Row],[Verkehrsmittel]]="Straßen-, S-, U-Bahn",Tabelle2[[#This Row],[Entfernung (km) gesamt]],0)*Tabelle2[[#This Row],[Anzahl Studierende ]]</f>
        <v>0</v>
      </c>
      <c r="V8" s="27">
        <f>IF(Tabelle2[[#This Row],[Verkehrsmittel]]="Fahrrad",Tabelle2[[#This Row],[Entfernung (km) gesamt]],0)*Tabelle2[[#This Row],[Anzahl Studierende ]]</f>
        <v>0</v>
      </c>
    </row>
    <row r="9" spans="1:22">
      <c r="B9" s="109"/>
      <c r="C9" s="110"/>
      <c r="D9" s="32"/>
      <c r="E9" s="32"/>
      <c r="F9" s="32"/>
      <c r="G9" s="32"/>
      <c r="H9" s="111">
        <f>Tabelle2[[#This Row],[Entfernung (km) einfach]]*2</f>
        <v>0</v>
      </c>
      <c r="I9" s="112"/>
      <c r="J9" s="32"/>
      <c r="K9" s="113">
        <f>IF(Tabelle2[[#This Row],[Verkehrsmittel]]="Bus",Tabelle2[[#This Row],[Entfernung (km) gesamt]],0)*Tabelle2[[#This Row],[Anzahl Studierende ]]</f>
        <v>0</v>
      </c>
      <c r="L9" s="28">
        <f>IF(Tabelle2[[#This Row],[Verkehrsmittel]]="Bahn",Tabelle2[[#This Row],[Anzahl Studierende ]]*Tabelle2[[#This Row],[Entfernung (km) gesamt]],0)</f>
        <v>0</v>
      </c>
      <c r="M9" s="28">
        <f>IF(Tabelle2[[#This Row],[Verkehrsmittel]]="PKW",Tabelle2[[#This Row],[Anzahl Studierende ]]*Tabelle2[[#This Row],[Entfernung (km) gesamt]],0)</f>
        <v>0</v>
      </c>
      <c r="N9" s="28">
        <f>IF(Tabelle2[[#This Row],[Verkehrsmittel]]="Flug", IF(AND(Tabelle2[[#This Row],[Entfernung (km) einfach]]&lt;500),Tabelle2[[#This Row],[Entfernung (km) gesamt]]), 0)*Tabelle2[[#This Row],[Anzahl Studierende ]]</f>
        <v>0</v>
      </c>
      <c r="O9" s="28">
        <f>IF(Tabelle2[[#This Row],[Verkehrsmittel]]="Flug", IF(AND(Tabelle2[[#This Row],[Entfernung (km) einfach]]&gt;500,Tabelle2[[#This Row],[Entfernung (km) einfach]]&lt;1000),Tabelle2[[#This Row],[Entfernung (km) gesamt]], 0), 0)*Tabelle2[[#This Row],[Anzahl Studierende ]]</f>
        <v>0</v>
      </c>
      <c r="P9" s="28">
        <f>IF(Tabelle2[[#This Row],[Verkehrsmittel]]="Flug", IF(AND(Tabelle2[[#This Row],[Entfernung (km) einfach]]&gt;1000,Tabelle2[[#This Row],[Entfernung (km) einfach]]&lt;2000),Tabelle2[[#This Row],[Entfernung (km) gesamt]], 0), 0)*Tabelle2[[#This Row],[Anzahl Studierende ]]</f>
        <v>0</v>
      </c>
      <c r="Q9" s="28">
        <f>IF(Tabelle2[[#This Row],[Verkehrsmittel]]="Flug", IF(AND(Tabelle2[[#This Row],[Entfernung (km) einfach]]&gt;2000,Tabelle2[[#This Row],[Entfernung (km) einfach]]&lt;5000),Tabelle2[[#This Row],[Entfernung (km) gesamt]], 0), 0)*Tabelle2[[#This Row],[Anzahl Studierende ]]</f>
        <v>0</v>
      </c>
      <c r="R9" s="28">
        <f>IF(Tabelle2[[#This Row],[Verkehrsmittel]]="Flug", IF(AND(Tabelle2[[#This Row],[Entfernung (km) einfach]]&gt;5000,Tabelle2[[#This Row],[Entfernung (km) einfach]]&lt;10000),Tabelle2[[#This Row],[Entfernung (km) gesamt]], 0), 0)*Tabelle2[[#This Row],[Anzahl Studierende ]]</f>
        <v>0</v>
      </c>
      <c r="S9" s="28">
        <f>IF(Tabelle2[[#This Row],[Verkehrsmittel]]="Flug", IF(AND(Tabelle2[[#This Row],[Entfernung (km) einfach]]&gt;10000),Tabelle2[[#This Row],[Entfernung (km) gesamt]]), 0)*Tabelle2[[#This Row],[Anzahl Studierende ]]</f>
        <v>0</v>
      </c>
      <c r="T9" s="28">
        <f>IF(Tabelle2[[#This Row],[Verkehrsmittel]]="Motorrad",Tabelle2[[#This Row],[Entfernung (km) gesamt]],0)*Tabelle2[[#This Row],[Anzahl Studierende ]]</f>
        <v>0</v>
      </c>
      <c r="U9" s="28">
        <f>IF(Tabelle2[[#This Row],[Verkehrsmittel]]="Straßen-, S-, U-Bahn",Tabelle2[[#This Row],[Entfernung (km) gesamt]],0)*Tabelle2[[#This Row],[Anzahl Studierende ]]</f>
        <v>0</v>
      </c>
      <c r="V9" s="29">
        <f>IF(Tabelle2[[#This Row],[Verkehrsmittel]]="Fahrrad",Tabelle2[[#This Row],[Entfernung (km) gesamt]],0)*Tabelle2[[#This Row],[Anzahl Studierende ]]</f>
        <v>0</v>
      </c>
    </row>
    <row r="10" spans="1:22">
      <c r="B10" s="109"/>
      <c r="C10" s="110"/>
      <c r="D10" s="32"/>
      <c r="E10" s="32"/>
      <c r="F10" s="32"/>
      <c r="G10" s="32"/>
      <c r="H10" s="111">
        <f>Tabelle2[[#This Row],[Entfernung (km) einfach]]*2</f>
        <v>0</v>
      </c>
      <c r="I10" s="32"/>
      <c r="J10" s="32"/>
      <c r="K10" s="113">
        <f>IF(Tabelle2[[#This Row],[Verkehrsmittel]]="Bus",Tabelle2[[#This Row],[Entfernung (km) gesamt]],0)*Tabelle2[[#This Row],[Anzahl Studierende ]]</f>
        <v>0</v>
      </c>
      <c r="L10" s="28">
        <f>IF(Tabelle2[[#This Row],[Verkehrsmittel]]="Bahn",Tabelle2[[#This Row],[Anzahl Studierende ]]*Tabelle2[[#This Row],[Entfernung (km) gesamt]],0)</f>
        <v>0</v>
      </c>
      <c r="M10" s="28">
        <f>IF(Tabelle2[[#This Row],[Verkehrsmittel]]="PKW",Tabelle2[[#This Row],[Anzahl Studierende ]]*Tabelle2[[#This Row],[Entfernung (km) gesamt]],0)</f>
        <v>0</v>
      </c>
      <c r="N10" s="28">
        <f>IF(Tabelle2[[#This Row],[Verkehrsmittel]]="Flug", IF(AND(Tabelle2[[#This Row],[Entfernung (km) einfach]]&lt;500),Tabelle2[[#This Row],[Entfernung (km) gesamt]]), 0)*Tabelle2[[#This Row],[Anzahl Studierende ]]</f>
        <v>0</v>
      </c>
      <c r="O10" s="28">
        <f>IF(Tabelle2[[#This Row],[Verkehrsmittel]]="Flug", IF(AND(Tabelle2[[#This Row],[Entfernung (km) einfach]]&gt;500,Tabelle2[[#This Row],[Entfernung (km) einfach]]&lt;1000),Tabelle2[[#This Row],[Entfernung (km) gesamt]], 0), 0)*Tabelle2[[#This Row],[Anzahl Studierende ]]</f>
        <v>0</v>
      </c>
      <c r="P10" s="28">
        <f>IF(Tabelle2[[#This Row],[Verkehrsmittel]]="Flug", IF(AND(Tabelle2[[#This Row],[Entfernung (km) einfach]]&gt;1000,Tabelle2[[#This Row],[Entfernung (km) einfach]]&lt;2000),Tabelle2[[#This Row],[Entfernung (km) gesamt]], 0), 0)*Tabelle2[[#This Row],[Anzahl Studierende ]]</f>
        <v>0</v>
      </c>
      <c r="Q10" s="28">
        <f>IF(Tabelle2[[#This Row],[Verkehrsmittel]]="Flug", IF(AND(Tabelle2[[#This Row],[Entfernung (km) einfach]]&gt;2000,Tabelle2[[#This Row],[Entfernung (km) einfach]]&lt;5000),Tabelle2[[#This Row],[Entfernung (km) gesamt]], 0), 0)*Tabelle2[[#This Row],[Anzahl Studierende ]]</f>
        <v>0</v>
      </c>
      <c r="R10" s="28">
        <f>IF(Tabelle2[[#This Row],[Verkehrsmittel]]="Flug", IF(AND(Tabelle2[[#This Row],[Entfernung (km) einfach]]&gt;5000,Tabelle2[[#This Row],[Entfernung (km) einfach]]&lt;10000),Tabelle2[[#This Row],[Entfernung (km) gesamt]], 0), 0)*Tabelle2[[#This Row],[Anzahl Studierende ]]</f>
        <v>0</v>
      </c>
      <c r="S10" s="28">
        <f>IF(Tabelle2[[#This Row],[Verkehrsmittel]]="Flug", IF(AND(Tabelle2[[#This Row],[Entfernung (km) einfach]]&gt;10000),Tabelle2[[#This Row],[Entfernung (km) gesamt]]), 0)*Tabelle2[[#This Row],[Anzahl Studierende ]]</f>
        <v>0</v>
      </c>
      <c r="T10" s="28">
        <f>IF(Tabelle2[[#This Row],[Verkehrsmittel]]="Motorrad",Tabelle2[[#This Row],[Entfernung (km) gesamt]],0)*Tabelle2[[#This Row],[Anzahl Studierende ]]</f>
        <v>0</v>
      </c>
      <c r="U10" s="28">
        <f>IF(Tabelle2[[#This Row],[Verkehrsmittel]]="Straßen-, S-, U-Bahn",Tabelle2[[#This Row],[Entfernung (km) gesamt]],0)*Tabelle2[[#This Row],[Anzahl Studierende ]]</f>
        <v>0</v>
      </c>
      <c r="V10" s="29">
        <f>IF(Tabelle2[[#This Row],[Verkehrsmittel]]="Fahrrad",Tabelle2[[#This Row],[Entfernung (km) gesamt]],0)*Tabelle2[[#This Row],[Anzahl Studierende ]]</f>
        <v>0</v>
      </c>
    </row>
    <row r="11" spans="1:22">
      <c r="B11" s="109"/>
      <c r="C11" s="110"/>
      <c r="D11" s="32"/>
      <c r="E11" s="32"/>
      <c r="F11" s="32"/>
      <c r="G11" s="32"/>
      <c r="H11" s="111">
        <f>Tabelle2[[#This Row],[Entfernung (km) einfach]]*2</f>
        <v>0</v>
      </c>
      <c r="I11" s="32"/>
      <c r="J11" s="32"/>
      <c r="K11" s="113">
        <f>IF(Tabelle2[[#This Row],[Verkehrsmittel]]="Bus",Tabelle2[[#This Row],[Entfernung (km) gesamt]],0)*Tabelle2[[#This Row],[Anzahl Studierende ]]</f>
        <v>0</v>
      </c>
      <c r="L11" s="28">
        <f>IF(Tabelle2[[#This Row],[Verkehrsmittel]]="Bahn",Tabelle2[[#This Row],[Anzahl Studierende ]]*Tabelle2[[#This Row],[Entfernung (km) gesamt]],0)</f>
        <v>0</v>
      </c>
      <c r="M11" s="28">
        <f>IF(Tabelle2[[#This Row],[Verkehrsmittel]]="PKW",Tabelle2[[#This Row],[Anzahl Studierende ]]*Tabelle2[[#This Row],[Entfernung (km) gesamt]],0)</f>
        <v>0</v>
      </c>
      <c r="N11" s="28">
        <f>IF(Tabelle2[[#This Row],[Verkehrsmittel]]="Flug", IF(AND(Tabelle2[[#This Row],[Entfernung (km) einfach]]&lt;500),Tabelle2[[#This Row],[Entfernung (km) gesamt]]), 0)*Tabelle2[[#This Row],[Anzahl Studierende ]]</f>
        <v>0</v>
      </c>
      <c r="O11" s="28">
        <f>IF(Tabelle2[[#This Row],[Verkehrsmittel]]="Flug", IF(AND(Tabelle2[[#This Row],[Entfernung (km) einfach]]&gt;500,Tabelle2[[#This Row],[Entfernung (km) einfach]]&lt;1000),Tabelle2[[#This Row],[Entfernung (km) gesamt]], 0), 0)*Tabelle2[[#This Row],[Anzahl Studierende ]]</f>
        <v>0</v>
      </c>
      <c r="P11" s="28">
        <f>IF(Tabelle2[[#This Row],[Verkehrsmittel]]="Flug", IF(AND(Tabelle2[[#This Row],[Entfernung (km) einfach]]&gt;1000,Tabelle2[[#This Row],[Entfernung (km) einfach]]&lt;2000),Tabelle2[[#This Row],[Entfernung (km) gesamt]], 0), 0)*Tabelle2[[#This Row],[Anzahl Studierende ]]</f>
        <v>0</v>
      </c>
      <c r="Q11" s="28">
        <f>IF(Tabelle2[[#This Row],[Verkehrsmittel]]="Flug", IF(AND(Tabelle2[[#This Row],[Entfernung (km) einfach]]&gt;2000,Tabelle2[[#This Row],[Entfernung (km) einfach]]&lt;5000),Tabelle2[[#This Row],[Entfernung (km) gesamt]], 0), 0)*Tabelle2[[#This Row],[Anzahl Studierende ]]</f>
        <v>0</v>
      </c>
      <c r="R11" s="28">
        <f>IF(Tabelle2[[#This Row],[Verkehrsmittel]]="Flug", IF(AND(Tabelle2[[#This Row],[Entfernung (km) einfach]]&gt;5000,Tabelle2[[#This Row],[Entfernung (km) einfach]]&lt;10000),Tabelle2[[#This Row],[Entfernung (km) gesamt]], 0), 0)*Tabelle2[[#This Row],[Anzahl Studierende ]]</f>
        <v>0</v>
      </c>
      <c r="S11" s="28">
        <f>IF(Tabelle2[[#This Row],[Verkehrsmittel]]="Flug", IF(AND(Tabelle2[[#This Row],[Entfernung (km) einfach]]&gt;10000),Tabelle2[[#This Row],[Entfernung (km) gesamt]]), 0)*Tabelle2[[#This Row],[Anzahl Studierende ]]</f>
        <v>0</v>
      </c>
      <c r="T11" s="28">
        <f>IF(Tabelle2[[#This Row],[Verkehrsmittel]]="Motorrad",Tabelle2[[#This Row],[Entfernung (km) gesamt]],0)*Tabelle2[[#This Row],[Anzahl Studierende ]]</f>
        <v>0</v>
      </c>
      <c r="U11" s="28">
        <f>IF(Tabelle2[[#This Row],[Verkehrsmittel]]="Straßen-, S-, U-Bahn",Tabelle2[[#This Row],[Entfernung (km) gesamt]],0)*Tabelle2[[#This Row],[Anzahl Studierende ]]</f>
        <v>0</v>
      </c>
      <c r="V11" s="29">
        <f>IF(Tabelle2[[#This Row],[Verkehrsmittel]]="Fahrrad",Tabelle2[[#This Row],[Entfernung (km) gesamt]],0)*Tabelle2[[#This Row],[Anzahl Studierende ]]</f>
        <v>0</v>
      </c>
    </row>
    <row r="12" spans="1:22">
      <c r="B12" s="109"/>
      <c r="C12" s="110"/>
      <c r="D12" s="32"/>
      <c r="E12" s="32"/>
      <c r="F12" s="32"/>
      <c r="G12" s="32"/>
      <c r="H12" s="111">
        <f>Tabelle2[[#This Row],[Entfernung (km) einfach]]*2</f>
        <v>0</v>
      </c>
      <c r="I12" s="32"/>
      <c r="J12" s="32"/>
      <c r="K12" s="113">
        <f>IF(Tabelle2[[#This Row],[Verkehrsmittel]]="Bus",Tabelle2[[#This Row],[Entfernung (km) gesamt]],0)*Tabelle2[[#This Row],[Anzahl Studierende ]]</f>
        <v>0</v>
      </c>
      <c r="L12" s="28">
        <f>IF(Tabelle2[[#This Row],[Verkehrsmittel]]="Bahn",Tabelle2[[#This Row],[Anzahl Studierende ]]*Tabelle2[[#This Row],[Entfernung (km) gesamt]],0)</f>
        <v>0</v>
      </c>
      <c r="M12" s="28">
        <f>IF(Tabelle2[[#This Row],[Verkehrsmittel]]="PKW",Tabelle2[[#This Row],[Anzahl Studierende ]]*Tabelle2[[#This Row],[Entfernung (km) gesamt]],0)</f>
        <v>0</v>
      </c>
      <c r="N12" s="28">
        <f>IF(Tabelle2[[#This Row],[Verkehrsmittel]]="Flug", IF(AND(Tabelle2[[#This Row],[Entfernung (km) einfach]]&lt;500),Tabelle2[[#This Row],[Entfernung (km) gesamt]]), 0)*Tabelle2[[#This Row],[Anzahl Studierende ]]</f>
        <v>0</v>
      </c>
      <c r="O12" s="28">
        <f>IF(Tabelle2[[#This Row],[Verkehrsmittel]]="Flug", IF(AND(Tabelle2[[#This Row],[Entfernung (km) einfach]]&gt;500,Tabelle2[[#This Row],[Entfernung (km) einfach]]&lt;1000),Tabelle2[[#This Row],[Entfernung (km) gesamt]], 0), 0)*Tabelle2[[#This Row],[Anzahl Studierende ]]</f>
        <v>0</v>
      </c>
      <c r="P12" s="28">
        <f>IF(Tabelle2[[#This Row],[Verkehrsmittel]]="Flug", IF(AND(Tabelle2[[#This Row],[Entfernung (km) einfach]]&gt;1000,Tabelle2[[#This Row],[Entfernung (km) einfach]]&lt;2000),Tabelle2[[#This Row],[Entfernung (km) gesamt]], 0), 0)*Tabelle2[[#This Row],[Anzahl Studierende ]]</f>
        <v>0</v>
      </c>
      <c r="Q12" s="28">
        <f>IF(Tabelle2[[#This Row],[Verkehrsmittel]]="Flug", IF(AND(Tabelle2[[#This Row],[Entfernung (km) einfach]]&gt;2000,Tabelle2[[#This Row],[Entfernung (km) einfach]]&lt;5000),Tabelle2[[#This Row],[Entfernung (km) gesamt]], 0), 0)*Tabelle2[[#This Row],[Anzahl Studierende ]]</f>
        <v>0</v>
      </c>
      <c r="R12" s="28">
        <f>IF(Tabelle2[[#This Row],[Verkehrsmittel]]="Flug", IF(AND(Tabelle2[[#This Row],[Entfernung (km) einfach]]&gt;5000,Tabelle2[[#This Row],[Entfernung (km) einfach]]&lt;10000),Tabelle2[[#This Row],[Entfernung (km) gesamt]], 0), 0)*Tabelle2[[#This Row],[Anzahl Studierende ]]</f>
        <v>0</v>
      </c>
      <c r="S12" s="28">
        <f>IF(Tabelle2[[#This Row],[Verkehrsmittel]]="Flug", IF(AND(Tabelle2[[#This Row],[Entfernung (km) einfach]]&gt;10000),Tabelle2[[#This Row],[Entfernung (km) gesamt]]), 0)*Tabelle2[[#This Row],[Anzahl Studierende ]]</f>
        <v>0</v>
      </c>
      <c r="T12" s="28">
        <f>IF(Tabelle2[[#This Row],[Verkehrsmittel]]="Motorrad",Tabelle2[[#This Row],[Entfernung (km) gesamt]],0)*Tabelle2[[#This Row],[Anzahl Studierende ]]</f>
        <v>0</v>
      </c>
      <c r="U12" s="28">
        <f>IF(Tabelle2[[#This Row],[Verkehrsmittel]]="Straßen-, S-, U-Bahn",Tabelle2[[#This Row],[Entfernung (km) gesamt]],0)*Tabelle2[[#This Row],[Anzahl Studierende ]]</f>
        <v>0</v>
      </c>
      <c r="V12" s="29">
        <f>IF(Tabelle2[[#This Row],[Verkehrsmittel]]="Fahrrad",Tabelle2[[#This Row],[Entfernung (km) gesamt]],0)*Tabelle2[[#This Row],[Anzahl Studierende ]]</f>
        <v>0</v>
      </c>
    </row>
    <row r="13" spans="1:22">
      <c r="B13" s="109"/>
      <c r="C13" s="110"/>
      <c r="D13" s="32"/>
      <c r="E13" s="32"/>
      <c r="F13" s="32"/>
      <c r="G13" s="32"/>
      <c r="H13" s="111">
        <f>Tabelle2[[#This Row],[Entfernung (km) einfach]]*2</f>
        <v>0</v>
      </c>
      <c r="I13" s="32"/>
      <c r="J13" s="32"/>
      <c r="K13" s="113">
        <f>IF(Tabelle2[[#This Row],[Verkehrsmittel]]="Bus",Tabelle2[[#This Row],[Entfernung (km) gesamt]],0)*Tabelle2[[#This Row],[Anzahl Studierende ]]</f>
        <v>0</v>
      </c>
      <c r="L13" s="28">
        <f>IF(Tabelle2[[#This Row],[Verkehrsmittel]]="Bahn",Tabelle2[[#This Row],[Anzahl Studierende ]]*Tabelle2[[#This Row],[Entfernung (km) gesamt]],0)</f>
        <v>0</v>
      </c>
      <c r="M13" s="28">
        <f>IF(Tabelle2[[#This Row],[Verkehrsmittel]]="PKW",Tabelle2[[#This Row],[Anzahl Studierende ]]*Tabelle2[[#This Row],[Entfernung (km) gesamt]],0)</f>
        <v>0</v>
      </c>
      <c r="N13" s="28">
        <f>IF(Tabelle2[[#This Row],[Verkehrsmittel]]="Flug", IF(AND(Tabelle2[[#This Row],[Entfernung (km) einfach]]&lt;500),Tabelle2[[#This Row],[Entfernung (km) gesamt]]), 0)*Tabelle2[[#This Row],[Anzahl Studierende ]]</f>
        <v>0</v>
      </c>
      <c r="O13" s="28">
        <f>IF(Tabelle2[[#This Row],[Verkehrsmittel]]="Flug", IF(AND(Tabelle2[[#This Row],[Entfernung (km) einfach]]&gt;500,Tabelle2[[#This Row],[Entfernung (km) einfach]]&lt;1000),Tabelle2[[#This Row],[Entfernung (km) gesamt]], 0), 0)*Tabelle2[[#This Row],[Anzahl Studierende ]]</f>
        <v>0</v>
      </c>
      <c r="P13" s="28">
        <f>IF(Tabelle2[[#This Row],[Verkehrsmittel]]="Flug", IF(AND(Tabelle2[[#This Row],[Entfernung (km) einfach]]&gt;1000,Tabelle2[[#This Row],[Entfernung (km) einfach]]&lt;2000),Tabelle2[[#This Row],[Entfernung (km) gesamt]], 0), 0)*Tabelle2[[#This Row],[Anzahl Studierende ]]</f>
        <v>0</v>
      </c>
      <c r="Q13" s="28">
        <f>IF(Tabelle2[[#This Row],[Verkehrsmittel]]="Flug", IF(AND(Tabelle2[[#This Row],[Entfernung (km) einfach]]&gt;2000,Tabelle2[[#This Row],[Entfernung (km) einfach]]&lt;5000),Tabelle2[[#This Row],[Entfernung (km) gesamt]], 0), 0)*Tabelle2[[#This Row],[Anzahl Studierende ]]</f>
        <v>0</v>
      </c>
      <c r="R13" s="28">
        <f>IF(Tabelle2[[#This Row],[Verkehrsmittel]]="Flug", IF(AND(Tabelle2[[#This Row],[Entfernung (km) einfach]]&gt;5000,Tabelle2[[#This Row],[Entfernung (km) einfach]]&lt;10000),Tabelle2[[#This Row],[Entfernung (km) gesamt]], 0), 0)*Tabelle2[[#This Row],[Anzahl Studierende ]]</f>
        <v>0</v>
      </c>
      <c r="S13" s="28">
        <f>IF(Tabelle2[[#This Row],[Verkehrsmittel]]="Flug", IF(AND(Tabelle2[[#This Row],[Entfernung (km) einfach]]&gt;10000),Tabelle2[[#This Row],[Entfernung (km) gesamt]]), 0)*Tabelle2[[#This Row],[Anzahl Studierende ]]</f>
        <v>0</v>
      </c>
      <c r="T13" s="28">
        <f>IF(Tabelle2[[#This Row],[Verkehrsmittel]]="Motorrad",Tabelle2[[#This Row],[Entfernung (km) gesamt]],0)*Tabelle2[[#This Row],[Anzahl Studierende ]]</f>
        <v>0</v>
      </c>
      <c r="U13" s="28">
        <f>IF(Tabelle2[[#This Row],[Verkehrsmittel]]="Straßen-, S-, U-Bahn",Tabelle2[[#This Row],[Entfernung (km) gesamt]],0)*Tabelle2[[#This Row],[Anzahl Studierende ]]</f>
        <v>0</v>
      </c>
      <c r="V13" s="29">
        <f>IF(Tabelle2[[#This Row],[Verkehrsmittel]]="Fahrrad",Tabelle2[[#This Row],[Entfernung (km) gesamt]],0)*Tabelle2[[#This Row],[Anzahl Studierende ]]</f>
        <v>0</v>
      </c>
    </row>
    <row r="14" spans="1:22">
      <c r="B14" s="109"/>
      <c r="C14" s="110"/>
      <c r="D14" s="32"/>
      <c r="E14" s="32"/>
      <c r="F14" s="32"/>
      <c r="G14" s="32"/>
      <c r="H14" s="111">
        <f>Tabelle2[[#This Row],[Entfernung (km) einfach]]*2</f>
        <v>0</v>
      </c>
      <c r="I14" s="32"/>
      <c r="J14" s="32"/>
      <c r="K14" s="113">
        <f>IF(Tabelle2[[#This Row],[Verkehrsmittel]]="Bus",Tabelle2[[#This Row],[Entfernung (km) gesamt]],0)*Tabelle2[[#This Row],[Anzahl Studierende ]]</f>
        <v>0</v>
      </c>
      <c r="L14" s="28">
        <f>IF(Tabelle2[[#This Row],[Verkehrsmittel]]="Bahn",Tabelle2[[#This Row],[Anzahl Studierende ]]*Tabelle2[[#This Row],[Entfernung (km) gesamt]],0)</f>
        <v>0</v>
      </c>
      <c r="M14" s="28">
        <f>IF(Tabelle2[[#This Row],[Verkehrsmittel]]="PKW",Tabelle2[[#This Row],[Anzahl Studierende ]]*Tabelle2[[#This Row],[Entfernung (km) gesamt]],0)</f>
        <v>0</v>
      </c>
      <c r="N14" s="28">
        <f>IF(Tabelle2[[#This Row],[Verkehrsmittel]]="Flug", IF(AND(Tabelle2[[#This Row],[Entfernung (km) einfach]]&lt;500),Tabelle2[[#This Row],[Entfernung (km) gesamt]]), 0)*Tabelle2[[#This Row],[Anzahl Studierende ]]</f>
        <v>0</v>
      </c>
      <c r="O14" s="28">
        <f>IF(Tabelle2[[#This Row],[Verkehrsmittel]]="Flug", IF(AND(Tabelle2[[#This Row],[Entfernung (km) einfach]]&gt;500,Tabelle2[[#This Row],[Entfernung (km) einfach]]&lt;1000),Tabelle2[[#This Row],[Entfernung (km) gesamt]], 0), 0)*Tabelle2[[#This Row],[Anzahl Studierende ]]</f>
        <v>0</v>
      </c>
      <c r="P14" s="28">
        <f>IF(Tabelle2[[#This Row],[Verkehrsmittel]]="Flug", IF(AND(Tabelle2[[#This Row],[Entfernung (km) einfach]]&gt;1000,Tabelle2[[#This Row],[Entfernung (km) einfach]]&lt;2000),Tabelle2[[#This Row],[Entfernung (km) gesamt]], 0), 0)*Tabelle2[[#This Row],[Anzahl Studierende ]]</f>
        <v>0</v>
      </c>
      <c r="Q14" s="28">
        <f>IF(Tabelle2[[#This Row],[Verkehrsmittel]]="Flug", IF(AND(Tabelle2[[#This Row],[Entfernung (km) einfach]]&gt;2000,Tabelle2[[#This Row],[Entfernung (km) einfach]]&lt;5000),Tabelle2[[#This Row],[Entfernung (km) gesamt]], 0), 0)*Tabelle2[[#This Row],[Anzahl Studierende ]]</f>
        <v>0</v>
      </c>
      <c r="R14" s="28">
        <f>IF(Tabelle2[[#This Row],[Verkehrsmittel]]="Flug", IF(AND(Tabelle2[[#This Row],[Entfernung (km) einfach]]&gt;5000,Tabelle2[[#This Row],[Entfernung (km) einfach]]&lt;10000),Tabelle2[[#This Row],[Entfernung (km) gesamt]], 0), 0)*Tabelle2[[#This Row],[Anzahl Studierende ]]</f>
        <v>0</v>
      </c>
      <c r="S14" s="28">
        <f>IF(Tabelle2[[#This Row],[Verkehrsmittel]]="Flug", IF(AND(Tabelle2[[#This Row],[Entfernung (km) einfach]]&gt;10000),Tabelle2[[#This Row],[Entfernung (km) gesamt]]), 0)*Tabelle2[[#This Row],[Anzahl Studierende ]]</f>
        <v>0</v>
      </c>
      <c r="T14" s="28">
        <f>IF(Tabelle2[[#This Row],[Verkehrsmittel]]="Motorrad",Tabelle2[[#This Row],[Entfernung (km) gesamt]],0)*Tabelle2[[#This Row],[Anzahl Studierende ]]</f>
        <v>0</v>
      </c>
      <c r="U14" s="28">
        <f>IF(Tabelle2[[#This Row],[Verkehrsmittel]]="Straßen-, S-, U-Bahn",Tabelle2[[#This Row],[Entfernung (km) gesamt]],0)*Tabelle2[[#This Row],[Anzahl Studierende ]]</f>
        <v>0</v>
      </c>
      <c r="V14" s="29">
        <f>IF(Tabelle2[[#This Row],[Verkehrsmittel]]="Fahrrad",Tabelle2[[#This Row],[Entfernung (km) gesamt]],0)*Tabelle2[[#This Row],[Anzahl Studierende ]]</f>
        <v>0</v>
      </c>
    </row>
    <row r="15" spans="1:22">
      <c r="B15" s="109"/>
      <c r="C15" s="110"/>
      <c r="D15" s="32"/>
      <c r="E15" s="32"/>
      <c r="F15" s="32"/>
      <c r="G15" s="32"/>
      <c r="H15" s="111">
        <f>Tabelle2[[#This Row],[Entfernung (km) einfach]]*2</f>
        <v>0</v>
      </c>
      <c r="I15" s="32"/>
      <c r="J15" s="32"/>
      <c r="K15" s="113">
        <f>IF(Tabelle2[[#This Row],[Verkehrsmittel]]="Bus",Tabelle2[[#This Row],[Entfernung (km) gesamt]],0)*Tabelle2[[#This Row],[Anzahl Studierende ]]</f>
        <v>0</v>
      </c>
      <c r="L15" s="28">
        <f>IF(Tabelle2[[#This Row],[Verkehrsmittel]]="Bahn",Tabelle2[[#This Row],[Anzahl Studierende ]]*Tabelle2[[#This Row],[Entfernung (km) gesamt]],0)</f>
        <v>0</v>
      </c>
      <c r="M15" s="28">
        <f>IF(Tabelle2[[#This Row],[Verkehrsmittel]]="PKW",Tabelle2[[#This Row],[Anzahl Studierende ]]*Tabelle2[[#This Row],[Entfernung (km) gesamt]],0)</f>
        <v>0</v>
      </c>
      <c r="N15" s="28">
        <f>IF(Tabelle2[[#This Row],[Verkehrsmittel]]="Flug", IF(AND(Tabelle2[[#This Row],[Entfernung (km) einfach]]&lt;500),Tabelle2[[#This Row],[Entfernung (km) gesamt]]), 0)*Tabelle2[[#This Row],[Anzahl Studierende ]]</f>
        <v>0</v>
      </c>
      <c r="O15" s="28">
        <f>IF(Tabelle2[[#This Row],[Verkehrsmittel]]="Flug", IF(AND(Tabelle2[[#This Row],[Entfernung (km) einfach]]&gt;500,Tabelle2[[#This Row],[Entfernung (km) einfach]]&lt;1000),Tabelle2[[#This Row],[Entfernung (km) gesamt]], 0), 0)*Tabelle2[[#This Row],[Anzahl Studierende ]]</f>
        <v>0</v>
      </c>
      <c r="P15" s="28">
        <f>IF(Tabelle2[[#This Row],[Verkehrsmittel]]="Flug", IF(AND(Tabelle2[[#This Row],[Entfernung (km) einfach]]&gt;1000,Tabelle2[[#This Row],[Entfernung (km) einfach]]&lt;2000),Tabelle2[[#This Row],[Entfernung (km) gesamt]], 0), 0)*Tabelle2[[#This Row],[Anzahl Studierende ]]</f>
        <v>0</v>
      </c>
      <c r="Q15" s="28">
        <f>IF(Tabelle2[[#This Row],[Verkehrsmittel]]="Flug", IF(AND(Tabelle2[[#This Row],[Entfernung (km) einfach]]&gt;2000,Tabelle2[[#This Row],[Entfernung (km) einfach]]&lt;5000),Tabelle2[[#This Row],[Entfernung (km) gesamt]], 0), 0)*Tabelle2[[#This Row],[Anzahl Studierende ]]</f>
        <v>0</v>
      </c>
      <c r="R15" s="28">
        <f>IF(Tabelle2[[#This Row],[Verkehrsmittel]]="Flug", IF(AND(Tabelle2[[#This Row],[Entfernung (km) einfach]]&gt;5000,Tabelle2[[#This Row],[Entfernung (km) einfach]]&lt;10000),Tabelle2[[#This Row],[Entfernung (km) gesamt]], 0), 0)*Tabelle2[[#This Row],[Anzahl Studierende ]]</f>
        <v>0</v>
      </c>
      <c r="S15" s="28">
        <f>IF(Tabelle2[[#This Row],[Verkehrsmittel]]="Flug", IF(AND(Tabelle2[[#This Row],[Entfernung (km) einfach]]&gt;10000),Tabelle2[[#This Row],[Entfernung (km) gesamt]]), 0)*Tabelle2[[#This Row],[Anzahl Studierende ]]</f>
        <v>0</v>
      </c>
      <c r="T15" s="28">
        <f>IF(Tabelle2[[#This Row],[Verkehrsmittel]]="Motorrad",Tabelle2[[#This Row],[Entfernung (km) gesamt]],0)*Tabelle2[[#This Row],[Anzahl Studierende ]]</f>
        <v>0</v>
      </c>
      <c r="U15" s="28">
        <f>IF(Tabelle2[[#This Row],[Verkehrsmittel]]="Straßen-, S-, U-Bahn",Tabelle2[[#This Row],[Entfernung (km) gesamt]],0)*Tabelle2[[#This Row],[Anzahl Studierende ]]</f>
        <v>0</v>
      </c>
      <c r="V15" s="29">
        <f>IF(Tabelle2[[#This Row],[Verkehrsmittel]]="Fahrrad",Tabelle2[[#This Row],[Entfernung (km) gesamt]],0)*Tabelle2[[#This Row],[Anzahl Studierende ]]</f>
        <v>0</v>
      </c>
    </row>
    <row r="16" spans="1:22">
      <c r="B16" s="109"/>
      <c r="C16" s="110"/>
      <c r="D16" s="32"/>
      <c r="E16" s="32"/>
      <c r="F16" s="32"/>
      <c r="G16" s="32"/>
      <c r="H16" s="111">
        <f>Tabelle2[[#This Row],[Entfernung (km) einfach]]*2</f>
        <v>0</v>
      </c>
      <c r="I16" s="32"/>
      <c r="J16" s="32"/>
      <c r="K16" s="113">
        <f>IF(Tabelle2[[#This Row],[Verkehrsmittel]]="Bus",Tabelle2[[#This Row],[Entfernung (km) gesamt]],0)*Tabelle2[[#This Row],[Anzahl Studierende ]]</f>
        <v>0</v>
      </c>
      <c r="L16" s="28">
        <f>IF(Tabelle2[[#This Row],[Verkehrsmittel]]="Bahn",Tabelle2[[#This Row],[Anzahl Studierende ]]*Tabelle2[[#This Row],[Entfernung (km) gesamt]],0)</f>
        <v>0</v>
      </c>
      <c r="M16" s="28">
        <f>IF(Tabelle2[[#This Row],[Verkehrsmittel]]="PKW",Tabelle2[[#This Row],[Anzahl Studierende ]]*Tabelle2[[#This Row],[Entfernung (km) gesamt]],0)</f>
        <v>0</v>
      </c>
      <c r="N16" s="28">
        <f>IF(Tabelle2[[#This Row],[Verkehrsmittel]]="Flug", IF(AND(Tabelle2[[#This Row],[Entfernung (km) einfach]]&lt;500),Tabelle2[[#This Row],[Entfernung (km) gesamt]]), 0)*Tabelle2[[#This Row],[Anzahl Studierende ]]</f>
        <v>0</v>
      </c>
      <c r="O16" s="28">
        <f>IF(Tabelle2[[#This Row],[Verkehrsmittel]]="Flug", IF(AND(Tabelle2[[#This Row],[Entfernung (km) einfach]]&gt;500,Tabelle2[[#This Row],[Entfernung (km) einfach]]&lt;1000),Tabelle2[[#This Row],[Entfernung (km) gesamt]], 0), 0)*Tabelle2[[#This Row],[Anzahl Studierende ]]</f>
        <v>0</v>
      </c>
      <c r="P16" s="28">
        <f>IF(Tabelle2[[#This Row],[Verkehrsmittel]]="Flug", IF(AND(Tabelle2[[#This Row],[Entfernung (km) einfach]]&gt;1000,Tabelle2[[#This Row],[Entfernung (km) einfach]]&lt;2000),Tabelle2[[#This Row],[Entfernung (km) gesamt]], 0), 0)*Tabelle2[[#This Row],[Anzahl Studierende ]]</f>
        <v>0</v>
      </c>
      <c r="Q16" s="28">
        <f>IF(Tabelle2[[#This Row],[Verkehrsmittel]]="Flug", IF(AND(Tabelle2[[#This Row],[Entfernung (km) einfach]]&gt;2000,Tabelle2[[#This Row],[Entfernung (km) einfach]]&lt;5000),Tabelle2[[#This Row],[Entfernung (km) gesamt]], 0), 0)*Tabelle2[[#This Row],[Anzahl Studierende ]]</f>
        <v>0</v>
      </c>
      <c r="R16" s="28">
        <f>IF(Tabelle2[[#This Row],[Verkehrsmittel]]="Flug", IF(AND(Tabelle2[[#This Row],[Entfernung (km) einfach]]&gt;5000,Tabelle2[[#This Row],[Entfernung (km) einfach]]&lt;10000),Tabelle2[[#This Row],[Entfernung (km) gesamt]], 0), 0)*Tabelle2[[#This Row],[Anzahl Studierende ]]</f>
        <v>0</v>
      </c>
      <c r="S16" s="28">
        <f>IF(Tabelle2[[#This Row],[Verkehrsmittel]]="Flug", IF(AND(Tabelle2[[#This Row],[Entfernung (km) einfach]]&gt;10000),Tabelle2[[#This Row],[Entfernung (km) gesamt]]), 0)*Tabelle2[[#This Row],[Anzahl Studierende ]]</f>
        <v>0</v>
      </c>
      <c r="T16" s="28">
        <f>IF(Tabelle2[[#This Row],[Verkehrsmittel]]="Motorrad",Tabelle2[[#This Row],[Entfernung (km) gesamt]],0)*Tabelle2[[#This Row],[Anzahl Studierende ]]</f>
        <v>0</v>
      </c>
      <c r="U16" s="28">
        <f>IF(Tabelle2[[#This Row],[Verkehrsmittel]]="Straßen-, S-, U-Bahn",Tabelle2[[#This Row],[Entfernung (km) gesamt]],0)*Tabelle2[[#This Row],[Anzahl Studierende ]]</f>
        <v>0</v>
      </c>
      <c r="V16" s="29">
        <f>IF(Tabelle2[[#This Row],[Verkehrsmittel]]="Fahrrad",Tabelle2[[#This Row],[Entfernung (km) gesamt]],0)*Tabelle2[[#This Row],[Anzahl Studierende ]]</f>
        <v>0</v>
      </c>
    </row>
    <row r="17" spans="2:22">
      <c r="B17" s="109"/>
      <c r="C17" s="110"/>
      <c r="D17" s="114"/>
      <c r="E17" s="32"/>
      <c r="F17" s="32"/>
      <c r="G17" s="32"/>
      <c r="H17" s="111">
        <f>Tabelle2[[#This Row],[Entfernung (km) einfach]]*2</f>
        <v>0</v>
      </c>
      <c r="I17" s="32"/>
      <c r="J17" s="115"/>
      <c r="K17" s="113">
        <f>IF(Tabelle2[[#This Row],[Verkehrsmittel]]="Bus",Tabelle2[[#This Row],[Entfernung (km) gesamt]],0)*Tabelle2[[#This Row],[Anzahl Studierende ]]</f>
        <v>0</v>
      </c>
      <c r="L17" s="28">
        <f>IF(Tabelle2[[#This Row],[Verkehrsmittel]]="Bahn",Tabelle2[[#This Row],[Anzahl Studierende ]]*Tabelle2[[#This Row],[Entfernung (km) gesamt]],0)</f>
        <v>0</v>
      </c>
      <c r="M17" s="28">
        <f>IF(Tabelle2[[#This Row],[Verkehrsmittel]]="PKW",Tabelle2[[#This Row],[Anzahl Studierende ]]*Tabelle2[[#This Row],[Entfernung (km) gesamt]],0)</f>
        <v>0</v>
      </c>
      <c r="N17" s="28">
        <f>IF(Tabelle2[[#This Row],[Verkehrsmittel]]="Flug", IF(AND(Tabelle2[[#This Row],[Entfernung (km) einfach]]&lt;500),Tabelle2[[#This Row],[Entfernung (km) gesamt]]), 0)*Tabelle2[[#This Row],[Anzahl Studierende ]]</f>
        <v>0</v>
      </c>
      <c r="O17" s="28">
        <f>IF(Tabelle2[[#This Row],[Verkehrsmittel]]="Flug", IF(AND(Tabelle2[[#This Row],[Entfernung (km) einfach]]&gt;500,Tabelle2[[#This Row],[Entfernung (km) einfach]]&lt;1000),Tabelle2[[#This Row],[Entfernung (km) gesamt]], 0), 0)*Tabelle2[[#This Row],[Anzahl Studierende ]]</f>
        <v>0</v>
      </c>
      <c r="P17" s="28">
        <f>IF(Tabelle2[[#This Row],[Verkehrsmittel]]="Flug", IF(AND(Tabelle2[[#This Row],[Entfernung (km) einfach]]&gt;1000,Tabelle2[[#This Row],[Entfernung (km) einfach]]&lt;2000),Tabelle2[[#This Row],[Entfernung (km) gesamt]], 0), 0)*Tabelle2[[#This Row],[Anzahl Studierende ]]</f>
        <v>0</v>
      </c>
      <c r="Q17" s="28">
        <f>IF(Tabelle2[[#This Row],[Verkehrsmittel]]="Flug", IF(AND(Tabelle2[[#This Row],[Entfernung (km) einfach]]&gt;2000,Tabelle2[[#This Row],[Entfernung (km) einfach]]&lt;5000),Tabelle2[[#This Row],[Entfernung (km) gesamt]], 0), 0)*Tabelle2[[#This Row],[Anzahl Studierende ]]</f>
        <v>0</v>
      </c>
      <c r="R17" s="28">
        <f>IF(Tabelle2[[#This Row],[Verkehrsmittel]]="Flug", IF(AND(Tabelle2[[#This Row],[Entfernung (km) einfach]]&gt;5000,Tabelle2[[#This Row],[Entfernung (km) einfach]]&lt;10000),Tabelle2[[#This Row],[Entfernung (km) gesamt]], 0), 0)*Tabelle2[[#This Row],[Anzahl Studierende ]]</f>
        <v>0</v>
      </c>
      <c r="S17" s="28">
        <f>IF(Tabelle2[[#This Row],[Verkehrsmittel]]="Flug", IF(AND(Tabelle2[[#This Row],[Entfernung (km) einfach]]&gt;10000),Tabelle2[[#This Row],[Entfernung (km) gesamt]]), 0)*Tabelle2[[#This Row],[Anzahl Studierende ]]</f>
        <v>0</v>
      </c>
      <c r="T17" s="28">
        <f>IF(Tabelle2[[#This Row],[Verkehrsmittel]]="Motorrad",Tabelle2[[#This Row],[Entfernung (km) gesamt]],0)*Tabelle2[[#This Row],[Anzahl Studierende ]]</f>
        <v>0</v>
      </c>
      <c r="U17" s="28">
        <f>IF(Tabelle2[[#This Row],[Verkehrsmittel]]="Straßen-, S-, U-Bahn",Tabelle2[[#This Row],[Entfernung (km) gesamt]],0)*Tabelle2[[#This Row],[Anzahl Studierende ]]</f>
        <v>0</v>
      </c>
      <c r="V17" s="29">
        <f>IF(Tabelle2[[#This Row],[Verkehrsmittel]]="Fahrrad",Tabelle2[[#This Row],[Entfernung (km) gesamt]],0)*Tabelle2[[#This Row],[Anzahl Studierende ]]</f>
        <v>0</v>
      </c>
    </row>
    <row r="18" spans="2:22">
      <c r="B18" s="109"/>
      <c r="C18" s="110"/>
      <c r="D18" s="114"/>
      <c r="E18" s="32"/>
      <c r="F18" s="32"/>
      <c r="G18" s="32"/>
      <c r="H18" s="111">
        <f>Tabelle2[[#This Row],[Entfernung (km) einfach]]*2</f>
        <v>0</v>
      </c>
      <c r="I18" s="32"/>
      <c r="J18" s="115"/>
      <c r="K18" s="113">
        <f>IF(Tabelle2[[#This Row],[Verkehrsmittel]]="Bus",Tabelle2[[#This Row],[Entfernung (km) gesamt]],0)*Tabelle2[[#This Row],[Anzahl Studierende ]]</f>
        <v>0</v>
      </c>
      <c r="L18" s="28">
        <f>IF(Tabelle2[[#This Row],[Verkehrsmittel]]="Bahn",Tabelle2[[#This Row],[Anzahl Studierende ]]*Tabelle2[[#This Row],[Entfernung (km) gesamt]],0)</f>
        <v>0</v>
      </c>
      <c r="M18" s="28">
        <f>IF(Tabelle2[[#This Row],[Verkehrsmittel]]="PKW",Tabelle2[[#This Row],[Anzahl Studierende ]]*Tabelle2[[#This Row],[Entfernung (km) gesamt]],0)</f>
        <v>0</v>
      </c>
      <c r="N18" s="28">
        <f>IF(Tabelle2[[#This Row],[Verkehrsmittel]]="Flug", IF(AND(Tabelle2[[#This Row],[Entfernung (km) einfach]]&lt;500),Tabelle2[[#This Row],[Entfernung (km) gesamt]]), 0)*Tabelle2[[#This Row],[Anzahl Studierende ]]</f>
        <v>0</v>
      </c>
      <c r="O18" s="28">
        <f>IF(Tabelle2[[#This Row],[Verkehrsmittel]]="Flug", IF(AND(Tabelle2[[#This Row],[Entfernung (km) einfach]]&gt;500,Tabelle2[[#This Row],[Entfernung (km) einfach]]&lt;1000),Tabelle2[[#This Row],[Entfernung (km) gesamt]], 0), 0)*Tabelle2[[#This Row],[Anzahl Studierende ]]</f>
        <v>0</v>
      </c>
      <c r="P18" s="28">
        <f>IF(Tabelle2[[#This Row],[Verkehrsmittel]]="Flug", IF(AND(Tabelle2[[#This Row],[Entfernung (km) einfach]]&gt;1000,Tabelle2[[#This Row],[Entfernung (km) einfach]]&lt;2000),Tabelle2[[#This Row],[Entfernung (km) gesamt]], 0), 0)*Tabelle2[[#This Row],[Anzahl Studierende ]]</f>
        <v>0</v>
      </c>
      <c r="Q18" s="28">
        <f>IF(Tabelle2[[#This Row],[Verkehrsmittel]]="Flug", IF(AND(Tabelle2[[#This Row],[Entfernung (km) einfach]]&gt;2000,Tabelle2[[#This Row],[Entfernung (km) einfach]]&lt;5000),Tabelle2[[#This Row],[Entfernung (km) gesamt]], 0), 0)*Tabelle2[[#This Row],[Anzahl Studierende ]]</f>
        <v>0</v>
      </c>
      <c r="R18" s="28">
        <f>IF(Tabelle2[[#This Row],[Verkehrsmittel]]="Flug", IF(AND(Tabelle2[[#This Row],[Entfernung (km) einfach]]&gt;5000,Tabelle2[[#This Row],[Entfernung (km) einfach]]&lt;10000),Tabelle2[[#This Row],[Entfernung (km) gesamt]], 0), 0)*Tabelle2[[#This Row],[Anzahl Studierende ]]</f>
        <v>0</v>
      </c>
      <c r="S18" s="28">
        <f>IF(Tabelle2[[#This Row],[Verkehrsmittel]]="Flug", IF(AND(Tabelle2[[#This Row],[Entfernung (km) einfach]]&gt;10000),Tabelle2[[#This Row],[Entfernung (km) gesamt]]), 0)*Tabelle2[[#This Row],[Anzahl Studierende ]]</f>
        <v>0</v>
      </c>
      <c r="T18" s="28">
        <f>IF(Tabelle2[[#This Row],[Verkehrsmittel]]="Motorrad",Tabelle2[[#This Row],[Entfernung (km) gesamt]],0)*Tabelle2[[#This Row],[Anzahl Studierende ]]</f>
        <v>0</v>
      </c>
      <c r="U18" s="28">
        <f>IF(Tabelle2[[#This Row],[Verkehrsmittel]]="Straßen-, S-, U-Bahn",Tabelle2[[#This Row],[Entfernung (km) gesamt]],0)*Tabelle2[[#This Row],[Anzahl Studierende ]]</f>
        <v>0</v>
      </c>
      <c r="V18" s="29">
        <f>IF(Tabelle2[[#This Row],[Verkehrsmittel]]="Fahrrad",Tabelle2[[#This Row],[Entfernung (km) gesamt]],0)*Tabelle2[[#This Row],[Anzahl Studierende ]]</f>
        <v>0</v>
      </c>
    </row>
    <row r="19" spans="2:22">
      <c r="B19" s="109"/>
      <c r="C19" s="110"/>
      <c r="D19" s="32"/>
      <c r="E19" s="32"/>
      <c r="F19" s="32"/>
      <c r="G19" s="32"/>
      <c r="H19" s="111">
        <f>Tabelle2[[#This Row],[Entfernung (km) einfach]]*2</f>
        <v>0</v>
      </c>
      <c r="I19" s="32"/>
      <c r="J19" s="32"/>
      <c r="K19" s="113">
        <f>IF(Tabelle2[[#This Row],[Verkehrsmittel]]="Bus",Tabelle2[[#This Row],[Entfernung (km) gesamt]],0)*Tabelle2[[#This Row],[Anzahl Studierende ]]</f>
        <v>0</v>
      </c>
      <c r="L19" s="28">
        <f>IF(Tabelle2[[#This Row],[Verkehrsmittel]]="Bahn",Tabelle2[[#This Row],[Anzahl Studierende ]]*Tabelle2[[#This Row],[Entfernung (km) gesamt]],0)</f>
        <v>0</v>
      </c>
      <c r="M19" s="28">
        <f>IF(Tabelle2[[#This Row],[Verkehrsmittel]]="PKW",Tabelle2[[#This Row],[Anzahl Studierende ]]*Tabelle2[[#This Row],[Entfernung (km) gesamt]],0)</f>
        <v>0</v>
      </c>
      <c r="N19" s="28">
        <f>IF(Tabelle2[[#This Row],[Verkehrsmittel]]="Flug", IF(AND(Tabelle2[[#This Row],[Entfernung (km) einfach]]&lt;500),Tabelle2[[#This Row],[Entfernung (km) gesamt]]), 0)*Tabelle2[[#This Row],[Anzahl Studierende ]]</f>
        <v>0</v>
      </c>
      <c r="O19" s="28">
        <f>IF(Tabelle2[[#This Row],[Verkehrsmittel]]="Flug", IF(AND(Tabelle2[[#This Row],[Entfernung (km) einfach]]&gt;500,Tabelle2[[#This Row],[Entfernung (km) einfach]]&lt;1000),Tabelle2[[#This Row],[Entfernung (km) gesamt]], 0), 0)*Tabelle2[[#This Row],[Anzahl Studierende ]]</f>
        <v>0</v>
      </c>
      <c r="P19" s="28">
        <f>IF(Tabelle2[[#This Row],[Verkehrsmittel]]="Flug", IF(AND(Tabelle2[[#This Row],[Entfernung (km) einfach]]&gt;1000,Tabelle2[[#This Row],[Entfernung (km) einfach]]&lt;2000),Tabelle2[[#This Row],[Entfernung (km) gesamt]], 0), 0)*Tabelle2[[#This Row],[Anzahl Studierende ]]</f>
        <v>0</v>
      </c>
      <c r="Q19" s="28">
        <f>IF(Tabelle2[[#This Row],[Verkehrsmittel]]="Flug", IF(AND(Tabelle2[[#This Row],[Entfernung (km) einfach]]&gt;2000,Tabelle2[[#This Row],[Entfernung (km) einfach]]&lt;5000),Tabelle2[[#This Row],[Entfernung (km) gesamt]], 0), 0)*Tabelle2[[#This Row],[Anzahl Studierende ]]</f>
        <v>0</v>
      </c>
      <c r="R19" s="28">
        <f>IF(Tabelle2[[#This Row],[Verkehrsmittel]]="Flug", IF(AND(Tabelle2[[#This Row],[Entfernung (km) einfach]]&gt;5000,Tabelle2[[#This Row],[Entfernung (km) einfach]]&lt;10000),Tabelle2[[#This Row],[Entfernung (km) gesamt]], 0), 0)*Tabelle2[[#This Row],[Anzahl Studierende ]]</f>
        <v>0</v>
      </c>
      <c r="S19" s="28">
        <f>IF(Tabelle2[[#This Row],[Verkehrsmittel]]="Flug", IF(AND(Tabelle2[[#This Row],[Entfernung (km) einfach]]&gt;10000),Tabelle2[[#This Row],[Entfernung (km) gesamt]]), 0)*Tabelle2[[#This Row],[Anzahl Studierende ]]</f>
        <v>0</v>
      </c>
      <c r="T19" s="28">
        <f>IF(Tabelle2[[#This Row],[Verkehrsmittel]]="Motorrad",Tabelle2[[#This Row],[Entfernung (km) gesamt]],0)*Tabelle2[[#This Row],[Anzahl Studierende ]]</f>
        <v>0</v>
      </c>
      <c r="U19" s="28">
        <f>IF(Tabelle2[[#This Row],[Verkehrsmittel]]="Straßen-, S-, U-Bahn",Tabelle2[[#This Row],[Entfernung (km) gesamt]],0)*Tabelle2[[#This Row],[Anzahl Studierende ]]</f>
        <v>0</v>
      </c>
      <c r="V19" s="29">
        <f>IF(Tabelle2[[#This Row],[Verkehrsmittel]]="Fahrrad",Tabelle2[[#This Row],[Entfernung (km) gesamt]],0)*Tabelle2[[#This Row],[Anzahl Studierende ]]</f>
        <v>0</v>
      </c>
    </row>
    <row r="20" spans="2:22">
      <c r="B20" s="109"/>
      <c r="C20" s="110"/>
      <c r="D20" s="32"/>
      <c r="E20" s="32"/>
      <c r="F20" s="32"/>
      <c r="G20" s="32"/>
      <c r="H20" s="111">
        <f>Tabelle2[[#This Row],[Entfernung (km) einfach]]*2</f>
        <v>0</v>
      </c>
      <c r="I20" s="32"/>
      <c r="J20" s="32"/>
      <c r="K20" s="113">
        <f>IF(Tabelle2[[#This Row],[Verkehrsmittel]]="Bus",Tabelle2[[#This Row],[Entfernung (km) gesamt]],0)*Tabelle2[[#This Row],[Anzahl Studierende ]]</f>
        <v>0</v>
      </c>
      <c r="L20" s="28">
        <f>IF(Tabelle2[[#This Row],[Verkehrsmittel]]="Bahn",Tabelle2[[#This Row],[Anzahl Studierende ]]*Tabelle2[[#This Row],[Entfernung (km) gesamt]],0)</f>
        <v>0</v>
      </c>
      <c r="M20" s="28">
        <f>IF(Tabelle2[[#This Row],[Verkehrsmittel]]="PKW",Tabelle2[[#This Row],[Anzahl Studierende ]]*Tabelle2[[#This Row],[Entfernung (km) gesamt]],0)</f>
        <v>0</v>
      </c>
      <c r="N20" s="28">
        <f>IF(Tabelle2[[#This Row],[Verkehrsmittel]]="Flug", IF(AND(Tabelle2[[#This Row],[Entfernung (km) einfach]]&lt;500),Tabelle2[[#This Row],[Entfernung (km) gesamt]]), 0)*Tabelle2[[#This Row],[Anzahl Studierende ]]</f>
        <v>0</v>
      </c>
      <c r="O20" s="28">
        <f>IF(Tabelle2[[#This Row],[Verkehrsmittel]]="Flug", IF(AND(Tabelle2[[#This Row],[Entfernung (km) einfach]]&gt;500,Tabelle2[[#This Row],[Entfernung (km) einfach]]&lt;1000),Tabelle2[[#This Row],[Entfernung (km) gesamt]], 0), 0)*Tabelle2[[#This Row],[Anzahl Studierende ]]</f>
        <v>0</v>
      </c>
      <c r="P20" s="28">
        <f>IF(Tabelle2[[#This Row],[Verkehrsmittel]]="Flug", IF(AND(Tabelle2[[#This Row],[Entfernung (km) einfach]]&gt;1000,Tabelle2[[#This Row],[Entfernung (km) einfach]]&lt;2000),Tabelle2[[#This Row],[Entfernung (km) gesamt]], 0), 0)*Tabelle2[[#This Row],[Anzahl Studierende ]]</f>
        <v>0</v>
      </c>
      <c r="Q20" s="28">
        <f>IF(Tabelle2[[#This Row],[Verkehrsmittel]]="Flug", IF(AND(Tabelle2[[#This Row],[Entfernung (km) einfach]]&gt;2000,Tabelle2[[#This Row],[Entfernung (km) einfach]]&lt;5000),Tabelle2[[#This Row],[Entfernung (km) gesamt]], 0), 0)*Tabelle2[[#This Row],[Anzahl Studierende ]]</f>
        <v>0</v>
      </c>
      <c r="R20" s="28">
        <f>IF(Tabelle2[[#This Row],[Verkehrsmittel]]="Flug", IF(AND(Tabelle2[[#This Row],[Entfernung (km) einfach]]&gt;5000,Tabelle2[[#This Row],[Entfernung (km) einfach]]&lt;10000),Tabelle2[[#This Row],[Entfernung (km) gesamt]], 0), 0)*Tabelle2[[#This Row],[Anzahl Studierende ]]</f>
        <v>0</v>
      </c>
      <c r="S20" s="28">
        <f>IF(Tabelle2[[#This Row],[Verkehrsmittel]]="Flug", IF(AND(Tabelle2[[#This Row],[Entfernung (km) einfach]]&gt;10000),Tabelle2[[#This Row],[Entfernung (km) gesamt]]), 0)*Tabelle2[[#This Row],[Anzahl Studierende ]]</f>
        <v>0</v>
      </c>
      <c r="T20" s="28">
        <f>IF(Tabelle2[[#This Row],[Verkehrsmittel]]="Motorrad",Tabelle2[[#This Row],[Entfernung (km) gesamt]],0)*Tabelle2[[#This Row],[Anzahl Studierende ]]</f>
        <v>0</v>
      </c>
      <c r="U20" s="28">
        <f>IF(Tabelle2[[#This Row],[Verkehrsmittel]]="Straßen-, S-, U-Bahn",Tabelle2[[#This Row],[Entfernung (km) gesamt]],0)*Tabelle2[[#This Row],[Anzahl Studierende ]]</f>
        <v>0</v>
      </c>
      <c r="V20" s="29">
        <f>IF(Tabelle2[[#This Row],[Verkehrsmittel]]="Fahrrad",Tabelle2[[#This Row],[Entfernung (km) gesamt]],0)*Tabelle2[[#This Row],[Anzahl Studierende ]]</f>
        <v>0</v>
      </c>
    </row>
    <row r="21" spans="2:22">
      <c r="B21" s="109"/>
      <c r="C21" s="110"/>
      <c r="D21" s="114"/>
      <c r="E21" s="32"/>
      <c r="F21" s="32"/>
      <c r="G21" s="32"/>
      <c r="H21" s="111">
        <f>Tabelle2[[#This Row],[Entfernung (km) einfach]]*2</f>
        <v>0</v>
      </c>
      <c r="I21" s="32"/>
      <c r="J21" s="115"/>
      <c r="K21" s="113">
        <f>IF(Tabelle2[[#This Row],[Verkehrsmittel]]="Bus",Tabelle2[[#This Row],[Entfernung (km) gesamt]],0)*Tabelle2[[#This Row],[Anzahl Studierende ]]</f>
        <v>0</v>
      </c>
      <c r="L21" s="28">
        <f>IF(Tabelle2[[#This Row],[Verkehrsmittel]]="Bahn",Tabelle2[[#This Row],[Anzahl Studierende ]]*Tabelle2[[#This Row],[Entfernung (km) gesamt]],0)</f>
        <v>0</v>
      </c>
      <c r="M21" s="28">
        <f>IF(Tabelle2[[#This Row],[Verkehrsmittel]]="PKW",Tabelle2[[#This Row],[Anzahl Studierende ]]*Tabelle2[[#This Row],[Entfernung (km) gesamt]],0)</f>
        <v>0</v>
      </c>
      <c r="N21" s="28">
        <f>IF(Tabelle2[[#This Row],[Verkehrsmittel]]="Flug", IF(AND(Tabelle2[[#This Row],[Entfernung (km) einfach]]&lt;500),Tabelle2[[#This Row],[Entfernung (km) gesamt]]), 0)*Tabelle2[[#This Row],[Anzahl Studierende ]]</f>
        <v>0</v>
      </c>
      <c r="O21" s="28">
        <f>IF(Tabelle2[[#This Row],[Verkehrsmittel]]="Flug", IF(AND(Tabelle2[[#This Row],[Entfernung (km) einfach]]&gt;500,Tabelle2[[#This Row],[Entfernung (km) einfach]]&lt;1000),Tabelle2[[#This Row],[Entfernung (km) gesamt]], 0), 0)*Tabelle2[[#This Row],[Anzahl Studierende ]]</f>
        <v>0</v>
      </c>
      <c r="P21" s="28">
        <f>IF(Tabelle2[[#This Row],[Verkehrsmittel]]="Flug", IF(AND(Tabelle2[[#This Row],[Entfernung (km) einfach]]&gt;1000,Tabelle2[[#This Row],[Entfernung (km) einfach]]&lt;2000),Tabelle2[[#This Row],[Entfernung (km) gesamt]], 0), 0)*Tabelle2[[#This Row],[Anzahl Studierende ]]</f>
        <v>0</v>
      </c>
      <c r="Q21" s="28">
        <f>IF(Tabelle2[[#This Row],[Verkehrsmittel]]="Flug", IF(AND(Tabelle2[[#This Row],[Entfernung (km) einfach]]&gt;2000,Tabelle2[[#This Row],[Entfernung (km) einfach]]&lt;5000),Tabelle2[[#This Row],[Entfernung (km) gesamt]], 0), 0)*Tabelle2[[#This Row],[Anzahl Studierende ]]</f>
        <v>0</v>
      </c>
      <c r="R21" s="28">
        <f>IF(Tabelle2[[#This Row],[Verkehrsmittel]]="Flug", IF(AND(Tabelle2[[#This Row],[Entfernung (km) einfach]]&gt;5000,Tabelle2[[#This Row],[Entfernung (km) einfach]]&lt;10000),Tabelle2[[#This Row],[Entfernung (km) gesamt]], 0), 0)*Tabelle2[[#This Row],[Anzahl Studierende ]]</f>
        <v>0</v>
      </c>
      <c r="S21" s="28">
        <f>IF(Tabelle2[[#This Row],[Verkehrsmittel]]="Flug", IF(AND(Tabelle2[[#This Row],[Entfernung (km) einfach]]&gt;10000),Tabelle2[[#This Row],[Entfernung (km) gesamt]]), 0)*Tabelle2[[#This Row],[Anzahl Studierende ]]</f>
        <v>0</v>
      </c>
      <c r="T21" s="28">
        <f>IF(Tabelle2[[#This Row],[Verkehrsmittel]]="Motorrad",Tabelle2[[#This Row],[Entfernung (km) gesamt]],0)*Tabelle2[[#This Row],[Anzahl Studierende ]]</f>
        <v>0</v>
      </c>
      <c r="U21" s="28">
        <f>IF(Tabelle2[[#This Row],[Verkehrsmittel]]="Straßen-, S-, U-Bahn",Tabelle2[[#This Row],[Entfernung (km) gesamt]],0)*Tabelle2[[#This Row],[Anzahl Studierende ]]</f>
        <v>0</v>
      </c>
      <c r="V21" s="29">
        <f>IF(Tabelle2[[#This Row],[Verkehrsmittel]]="Fahrrad",Tabelle2[[#This Row],[Entfernung (km) gesamt]],0)*Tabelle2[[#This Row],[Anzahl Studierende ]]</f>
        <v>0</v>
      </c>
    </row>
    <row r="22" spans="2:22">
      <c r="B22" s="109"/>
      <c r="C22" s="110"/>
      <c r="D22" s="32"/>
      <c r="E22" s="32"/>
      <c r="F22" s="32"/>
      <c r="G22" s="32"/>
      <c r="H22" s="111">
        <f>Tabelle2[[#This Row],[Entfernung (km) einfach]]*2</f>
        <v>0</v>
      </c>
      <c r="I22" s="32"/>
      <c r="J22" s="32"/>
      <c r="K22" s="113">
        <f>IF(Tabelle2[[#This Row],[Verkehrsmittel]]="Bus",Tabelle2[[#This Row],[Entfernung (km) gesamt]],0)*Tabelle2[[#This Row],[Anzahl Studierende ]]</f>
        <v>0</v>
      </c>
      <c r="L22" s="28">
        <f>IF(Tabelle2[[#This Row],[Verkehrsmittel]]="Bahn",Tabelle2[[#This Row],[Anzahl Studierende ]]*Tabelle2[[#This Row],[Entfernung (km) gesamt]],0)</f>
        <v>0</v>
      </c>
      <c r="M22" s="28">
        <f>IF(Tabelle2[[#This Row],[Verkehrsmittel]]="PKW",Tabelle2[[#This Row],[Anzahl Studierende ]]*Tabelle2[[#This Row],[Entfernung (km) gesamt]],0)</f>
        <v>0</v>
      </c>
      <c r="N22" s="28">
        <f>IF(Tabelle2[[#This Row],[Verkehrsmittel]]="Flug", IF(AND(Tabelle2[[#This Row],[Entfernung (km) einfach]]&lt;500),Tabelle2[[#This Row],[Entfernung (km) gesamt]]), 0)*Tabelle2[[#This Row],[Anzahl Studierende ]]</f>
        <v>0</v>
      </c>
      <c r="O22" s="28">
        <f>IF(Tabelle2[[#This Row],[Verkehrsmittel]]="Flug", IF(AND(Tabelle2[[#This Row],[Entfernung (km) einfach]]&gt;500,Tabelle2[[#This Row],[Entfernung (km) einfach]]&lt;1000),Tabelle2[[#This Row],[Entfernung (km) gesamt]], 0), 0)*Tabelle2[[#This Row],[Anzahl Studierende ]]</f>
        <v>0</v>
      </c>
      <c r="P22" s="28">
        <f>IF(Tabelle2[[#This Row],[Verkehrsmittel]]="Flug", IF(AND(Tabelle2[[#This Row],[Entfernung (km) einfach]]&gt;1000,Tabelle2[[#This Row],[Entfernung (km) einfach]]&lt;2000),Tabelle2[[#This Row],[Entfernung (km) gesamt]], 0), 0)*Tabelle2[[#This Row],[Anzahl Studierende ]]</f>
        <v>0</v>
      </c>
      <c r="Q22" s="28">
        <f>IF(Tabelle2[[#This Row],[Verkehrsmittel]]="Flug", IF(AND(Tabelle2[[#This Row],[Entfernung (km) einfach]]&gt;2000,Tabelle2[[#This Row],[Entfernung (km) einfach]]&lt;5000),Tabelle2[[#This Row],[Entfernung (km) gesamt]], 0), 0)*Tabelle2[[#This Row],[Anzahl Studierende ]]</f>
        <v>0</v>
      </c>
      <c r="R22" s="28">
        <f>IF(Tabelle2[[#This Row],[Verkehrsmittel]]="Flug", IF(AND(Tabelle2[[#This Row],[Entfernung (km) einfach]]&gt;5000,Tabelle2[[#This Row],[Entfernung (km) einfach]]&lt;10000),Tabelle2[[#This Row],[Entfernung (km) gesamt]], 0), 0)*Tabelle2[[#This Row],[Anzahl Studierende ]]</f>
        <v>0</v>
      </c>
      <c r="S22" s="28">
        <f>IF(Tabelle2[[#This Row],[Verkehrsmittel]]="Flug", IF(AND(Tabelle2[[#This Row],[Entfernung (km) einfach]]&gt;10000),Tabelle2[[#This Row],[Entfernung (km) gesamt]]), 0)*Tabelle2[[#This Row],[Anzahl Studierende ]]</f>
        <v>0</v>
      </c>
      <c r="T22" s="28">
        <f>IF(Tabelle2[[#This Row],[Verkehrsmittel]]="Motorrad",Tabelle2[[#This Row],[Entfernung (km) gesamt]],0)*Tabelle2[[#This Row],[Anzahl Studierende ]]</f>
        <v>0</v>
      </c>
      <c r="U22" s="28">
        <f>IF(Tabelle2[[#This Row],[Verkehrsmittel]]="Straßen-, S-, U-Bahn",Tabelle2[[#This Row],[Entfernung (km) gesamt]],0)*Tabelle2[[#This Row],[Anzahl Studierende ]]</f>
        <v>0</v>
      </c>
      <c r="V22" s="29">
        <f>IF(Tabelle2[[#This Row],[Verkehrsmittel]]="Fahrrad",Tabelle2[[#This Row],[Entfernung (km) gesamt]],0)*Tabelle2[[#This Row],[Anzahl Studierende ]]</f>
        <v>0</v>
      </c>
    </row>
    <row r="23" spans="2:22">
      <c r="B23" s="109"/>
      <c r="C23" s="110"/>
      <c r="D23" s="32"/>
      <c r="E23" s="32"/>
      <c r="F23" s="32"/>
      <c r="G23" s="116"/>
      <c r="H23" s="117">
        <f>Tabelle2[[#This Row],[Entfernung (km) einfach]]*2</f>
        <v>0</v>
      </c>
      <c r="I23" s="32"/>
      <c r="J23" s="32"/>
      <c r="K23" s="113">
        <f>IF(Tabelle2[[#This Row],[Verkehrsmittel]]="Bus",Tabelle2[[#This Row],[Entfernung (km) gesamt]],0)*Tabelle2[[#This Row],[Anzahl Studierende ]]</f>
        <v>0</v>
      </c>
      <c r="L23" s="28">
        <f>IF(Tabelle2[[#This Row],[Verkehrsmittel]]="Bahn",Tabelle2[[#This Row],[Anzahl Studierende ]]*Tabelle2[[#This Row],[Entfernung (km) gesamt]],0)</f>
        <v>0</v>
      </c>
      <c r="M23" s="28">
        <f>IF(Tabelle2[[#This Row],[Verkehrsmittel]]="PKW",Tabelle2[[#This Row],[Anzahl Studierende ]]*Tabelle2[[#This Row],[Entfernung (km) gesamt]],0)</f>
        <v>0</v>
      </c>
      <c r="N23" s="28">
        <f>IF(Tabelle2[[#This Row],[Verkehrsmittel]]="Flug", IF(AND(Tabelle2[[#This Row],[Entfernung (km) einfach]]&lt;500),Tabelle2[[#This Row],[Entfernung (km) gesamt]]), 0)*Tabelle2[[#This Row],[Anzahl Studierende ]]</f>
        <v>0</v>
      </c>
      <c r="O23" s="28">
        <f>IF(Tabelle2[[#This Row],[Verkehrsmittel]]="Flug", IF(AND(Tabelle2[[#This Row],[Entfernung (km) einfach]]&gt;500,Tabelle2[[#This Row],[Entfernung (km) einfach]]&lt;1000),Tabelle2[[#This Row],[Entfernung (km) gesamt]], 0), 0)*Tabelle2[[#This Row],[Anzahl Studierende ]]</f>
        <v>0</v>
      </c>
      <c r="P23" s="28">
        <f>IF(Tabelle2[[#This Row],[Verkehrsmittel]]="Flug", IF(AND(Tabelle2[[#This Row],[Entfernung (km) einfach]]&gt;1000,Tabelle2[[#This Row],[Entfernung (km) einfach]]&lt;2000),Tabelle2[[#This Row],[Entfernung (km) gesamt]], 0), 0)*Tabelle2[[#This Row],[Anzahl Studierende ]]</f>
        <v>0</v>
      </c>
      <c r="Q23" s="28">
        <f>IF(Tabelle2[[#This Row],[Verkehrsmittel]]="Flug", IF(AND(Tabelle2[[#This Row],[Entfernung (km) einfach]]&gt;2000,Tabelle2[[#This Row],[Entfernung (km) einfach]]&lt;5000),Tabelle2[[#This Row],[Entfernung (km) gesamt]], 0), 0)*Tabelle2[[#This Row],[Anzahl Studierende ]]</f>
        <v>0</v>
      </c>
      <c r="R23" s="28">
        <f>IF(Tabelle2[[#This Row],[Verkehrsmittel]]="Flug", IF(AND(Tabelle2[[#This Row],[Entfernung (km) einfach]]&gt;5000,Tabelle2[[#This Row],[Entfernung (km) einfach]]&lt;10000),Tabelle2[[#This Row],[Entfernung (km) gesamt]], 0), 0)*Tabelle2[[#This Row],[Anzahl Studierende ]]</f>
        <v>0</v>
      </c>
      <c r="S23" s="28">
        <f>IF(Tabelle2[[#This Row],[Verkehrsmittel]]="Flug", IF(AND(Tabelle2[[#This Row],[Entfernung (km) einfach]]&gt;10000),Tabelle2[[#This Row],[Entfernung (km) gesamt]]), 0)*Tabelle2[[#This Row],[Anzahl Studierende ]]</f>
        <v>0</v>
      </c>
      <c r="T23" s="28">
        <f>IF(Tabelle2[[#This Row],[Verkehrsmittel]]="Motorrad",Tabelle2[[#This Row],[Entfernung (km) gesamt]],0)*Tabelle2[[#This Row],[Anzahl Studierende ]]</f>
        <v>0</v>
      </c>
      <c r="U23" s="28">
        <f>IF(Tabelle2[[#This Row],[Verkehrsmittel]]="Straßen-, S-, U-Bahn",Tabelle2[[#This Row],[Entfernung (km) gesamt]],0)*Tabelle2[[#This Row],[Anzahl Studierende ]]</f>
        <v>0</v>
      </c>
      <c r="V23" s="29">
        <f>IF(Tabelle2[[#This Row],[Verkehrsmittel]]="Fahrrad",Tabelle2[[#This Row],[Entfernung (km) gesamt]],0)*Tabelle2[[#This Row],[Anzahl Studierende ]]</f>
        <v>0</v>
      </c>
    </row>
    <row r="24" spans="2:22">
      <c r="B24" s="109"/>
      <c r="C24" s="110"/>
      <c r="D24" s="32"/>
      <c r="E24" s="32"/>
      <c r="F24" s="32"/>
      <c r="G24" s="116"/>
      <c r="H24" s="117">
        <f>Tabelle2[[#This Row],[Entfernung (km) einfach]]*2</f>
        <v>0</v>
      </c>
      <c r="I24" s="32"/>
      <c r="J24" s="32"/>
      <c r="K24" s="113">
        <f>IF(Tabelle2[[#This Row],[Verkehrsmittel]]="Bus",Tabelle2[[#This Row],[Entfernung (km) gesamt]],0)*Tabelle2[[#This Row],[Anzahl Studierende ]]</f>
        <v>0</v>
      </c>
      <c r="L24" s="28">
        <f>IF(Tabelle2[[#This Row],[Verkehrsmittel]]="Bahn",Tabelle2[[#This Row],[Anzahl Studierende ]]*Tabelle2[[#This Row],[Entfernung (km) gesamt]],0)</f>
        <v>0</v>
      </c>
      <c r="M24" s="28">
        <f>IF(Tabelle2[[#This Row],[Verkehrsmittel]]="PKW",Tabelle2[[#This Row],[Anzahl Studierende ]]*Tabelle2[[#This Row],[Entfernung (km) gesamt]],0)</f>
        <v>0</v>
      </c>
      <c r="N24" s="28">
        <f>IF(Tabelle2[[#This Row],[Verkehrsmittel]]="Flug", IF(AND(Tabelle2[[#This Row],[Entfernung (km) einfach]]&lt;500),Tabelle2[[#This Row],[Entfernung (km) gesamt]]), 0)*Tabelle2[[#This Row],[Anzahl Studierende ]]</f>
        <v>0</v>
      </c>
      <c r="O24" s="28">
        <f>IF(Tabelle2[[#This Row],[Verkehrsmittel]]="Flug", IF(AND(Tabelle2[[#This Row],[Entfernung (km) einfach]]&gt;500,Tabelle2[[#This Row],[Entfernung (km) einfach]]&lt;1000),Tabelle2[[#This Row],[Entfernung (km) gesamt]], 0), 0)*Tabelle2[[#This Row],[Anzahl Studierende ]]</f>
        <v>0</v>
      </c>
      <c r="P24" s="28">
        <f>IF(Tabelle2[[#This Row],[Verkehrsmittel]]="Flug", IF(AND(Tabelle2[[#This Row],[Entfernung (km) einfach]]&gt;1000,Tabelle2[[#This Row],[Entfernung (km) einfach]]&lt;2000),Tabelle2[[#This Row],[Entfernung (km) gesamt]], 0), 0)*Tabelle2[[#This Row],[Anzahl Studierende ]]</f>
        <v>0</v>
      </c>
      <c r="Q24" s="28">
        <f>IF(Tabelle2[[#This Row],[Verkehrsmittel]]="Flug", IF(AND(Tabelle2[[#This Row],[Entfernung (km) einfach]]&gt;2000,Tabelle2[[#This Row],[Entfernung (km) einfach]]&lt;5000),Tabelle2[[#This Row],[Entfernung (km) gesamt]], 0), 0)*Tabelle2[[#This Row],[Anzahl Studierende ]]</f>
        <v>0</v>
      </c>
      <c r="R24" s="28">
        <f>IF(Tabelle2[[#This Row],[Verkehrsmittel]]="Flug", IF(AND(Tabelle2[[#This Row],[Entfernung (km) einfach]]&gt;5000,Tabelle2[[#This Row],[Entfernung (km) einfach]]&lt;10000),Tabelle2[[#This Row],[Entfernung (km) gesamt]], 0), 0)*Tabelle2[[#This Row],[Anzahl Studierende ]]</f>
        <v>0</v>
      </c>
      <c r="S24" s="28">
        <f>IF(Tabelle2[[#This Row],[Verkehrsmittel]]="Flug", IF(AND(Tabelle2[[#This Row],[Entfernung (km) einfach]]&gt;10000),Tabelle2[[#This Row],[Entfernung (km) gesamt]]), 0)*Tabelle2[[#This Row],[Anzahl Studierende ]]</f>
        <v>0</v>
      </c>
      <c r="T24" s="28">
        <f>IF(Tabelle2[[#This Row],[Verkehrsmittel]]="Motorrad",Tabelle2[[#This Row],[Entfernung (km) gesamt]],0)*Tabelle2[[#This Row],[Anzahl Studierende ]]</f>
        <v>0</v>
      </c>
      <c r="U24" s="28">
        <f>IF(Tabelle2[[#This Row],[Verkehrsmittel]]="Straßen-, S-, U-Bahn",Tabelle2[[#This Row],[Entfernung (km) gesamt]],0)*Tabelle2[[#This Row],[Anzahl Studierende ]]</f>
        <v>0</v>
      </c>
      <c r="V24" s="29">
        <f>IF(Tabelle2[[#This Row],[Verkehrsmittel]]="Fahrrad",Tabelle2[[#This Row],[Entfernung (km) gesamt]],0)*Tabelle2[[#This Row],[Anzahl Studierende ]]</f>
        <v>0</v>
      </c>
    </row>
    <row r="25" spans="2:22">
      <c r="B25" s="109"/>
      <c r="C25" s="110"/>
      <c r="D25" s="32"/>
      <c r="E25" s="32"/>
      <c r="F25" s="32"/>
      <c r="G25" s="116"/>
      <c r="H25" s="117">
        <f>Tabelle2[[#This Row],[Entfernung (km) einfach]]*2</f>
        <v>0</v>
      </c>
      <c r="I25" s="32"/>
      <c r="J25" s="32"/>
      <c r="K25" s="113">
        <f>IF(Tabelle2[[#This Row],[Verkehrsmittel]]="Bus",Tabelle2[[#This Row],[Entfernung (km) gesamt]],0)*Tabelle2[[#This Row],[Anzahl Studierende ]]</f>
        <v>0</v>
      </c>
      <c r="L25" s="28">
        <f>IF(Tabelle2[[#This Row],[Verkehrsmittel]]="Bahn",Tabelle2[[#This Row],[Anzahl Studierende ]]*Tabelle2[[#This Row],[Entfernung (km) gesamt]],0)</f>
        <v>0</v>
      </c>
      <c r="M25" s="28">
        <f>IF(Tabelle2[[#This Row],[Verkehrsmittel]]="PKW",Tabelle2[[#This Row],[Anzahl Studierende ]]*Tabelle2[[#This Row],[Entfernung (km) gesamt]],0)</f>
        <v>0</v>
      </c>
      <c r="N25" s="28">
        <f>IF(Tabelle2[[#This Row],[Verkehrsmittel]]="Flug", IF(AND(Tabelle2[[#This Row],[Entfernung (km) einfach]]&lt;500),Tabelle2[[#This Row],[Entfernung (km) gesamt]]), 0)*Tabelle2[[#This Row],[Anzahl Studierende ]]</f>
        <v>0</v>
      </c>
      <c r="O25" s="28">
        <f>IF(Tabelle2[[#This Row],[Verkehrsmittel]]="Flug", IF(AND(Tabelle2[[#This Row],[Entfernung (km) einfach]]&gt;500,Tabelle2[[#This Row],[Entfernung (km) einfach]]&lt;1000),Tabelle2[[#This Row],[Entfernung (km) gesamt]], 0), 0)*Tabelle2[[#This Row],[Anzahl Studierende ]]</f>
        <v>0</v>
      </c>
      <c r="P25" s="28">
        <f>IF(Tabelle2[[#This Row],[Verkehrsmittel]]="Flug", IF(AND(Tabelle2[[#This Row],[Entfernung (km) einfach]]&gt;1000,Tabelle2[[#This Row],[Entfernung (km) einfach]]&lt;2000),Tabelle2[[#This Row],[Entfernung (km) gesamt]], 0), 0)*Tabelle2[[#This Row],[Anzahl Studierende ]]</f>
        <v>0</v>
      </c>
      <c r="Q25" s="28">
        <f>IF(Tabelle2[[#This Row],[Verkehrsmittel]]="Flug", IF(AND(Tabelle2[[#This Row],[Entfernung (km) einfach]]&gt;2000,Tabelle2[[#This Row],[Entfernung (km) einfach]]&lt;5000),Tabelle2[[#This Row],[Entfernung (km) gesamt]], 0), 0)*Tabelle2[[#This Row],[Anzahl Studierende ]]</f>
        <v>0</v>
      </c>
      <c r="R25" s="28">
        <f>IF(Tabelle2[[#This Row],[Verkehrsmittel]]="Flug", IF(AND(Tabelle2[[#This Row],[Entfernung (km) einfach]]&gt;5000,Tabelle2[[#This Row],[Entfernung (km) einfach]]&lt;10000),Tabelle2[[#This Row],[Entfernung (km) gesamt]], 0), 0)*Tabelle2[[#This Row],[Anzahl Studierende ]]</f>
        <v>0</v>
      </c>
      <c r="S25" s="28">
        <f>IF(Tabelle2[[#This Row],[Verkehrsmittel]]="Flug", IF(AND(Tabelle2[[#This Row],[Entfernung (km) einfach]]&gt;10000),Tabelle2[[#This Row],[Entfernung (km) gesamt]]), 0)*Tabelle2[[#This Row],[Anzahl Studierende ]]</f>
        <v>0</v>
      </c>
      <c r="T25" s="28">
        <f>IF(Tabelle2[[#This Row],[Verkehrsmittel]]="Motorrad",Tabelle2[[#This Row],[Entfernung (km) gesamt]],0)*Tabelle2[[#This Row],[Anzahl Studierende ]]</f>
        <v>0</v>
      </c>
      <c r="U25" s="28">
        <f>IF(Tabelle2[[#This Row],[Verkehrsmittel]]="Straßen-, S-, U-Bahn",Tabelle2[[#This Row],[Entfernung (km) gesamt]],0)*Tabelle2[[#This Row],[Anzahl Studierende ]]</f>
        <v>0</v>
      </c>
      <c r="V25" s="29">
        <f>IF(Tabelle2[[#This Row],[Verkehrsmittel]]="Fahrrad",Tabelle2[[#This Row],[Entfernung (km) gesamt]],0)*Tabelle2[[#This Row],[Anzahl Studierende ]]</f>
        <v>0</v>
      </c>
    </row>
    <row r="26" spans="2:22">
      <c r="B26" s="109"/>
      <c r="C26" s="110"/>
      <c r="D26" s="32"/>
      <c r="E26" s="32"/>
      <c r="F26" s="32"/>
      <c r="G26" s="116"/>
      <c r="H26" s="117">
        <f>Tabelle2[[#This Row],[Entfernung (km) einfach]]*2</f>
        <v>0</v>
      </c>
      <c r="I26" s="32"/>
      <c r="J26" s="32"/>
      <c r="K26" s="113">
        <f>IF(Tabelle2[[#This Row],[Verkehrsmittel]]="Bus",Tabelle2[[#This Row],[Entfernung (km) gesamt]],0)*Tabelle2[[#This Row],[Anzahl Studierende ]]</f>
        <v>0</v>
      </c>
      <c r="L26" s="28">
        <f>IF(Tabelle2[[#This Row],[Verkehrsmittel]]="Bahn",Tabelle2[[#This Row],[Anzahl Studierende ]]*Tabelle2[[#This Row],[Entfernung (km) gesamt]],0)</f>
        <v>0</v>
      </c>
      <c r="M26" s="28">
        <f>IF(Tabelle2[[#This Row],[Verkehrsmittel]]="PKW",Tabelle2[[#This Row],[Anzahl Studierende ]]*Tabelle2[[#This Row],[Entfernung (km) gesamt]],0)</f>
        <v>0</v>
      </c>
      <c r="N26" s="28">
        <f>IF(Tabelle2[[#This Row],[Verkehrsmittel]]="Flug", IF(AND(Tabelle2[[#This Row],[Entfernung (km) einfach]]&lt;500),Tabelle2[[#This Row],[Entfernung (km) gesamt]]), 0)*Tabelle2[[#This Row],[Anzahl Studierende ]]</f>
        <v>0</v>
      </c>
      <c r="O26" s="28">
        <f>IF(Tabelle2[[#This Row],[Verkehrsmittel]]="Flug", IF(AND(Tabelle2[[#This Row],[Entfernung (km) einfach]]&gt;500,Tabelle2[[#This Row],[Entfernung (km) einfach]]&lt;1000),Tabelle2[[#This Row],[Entfernung (km) gesamt]], 0), 0)*Tabelle2[[#This Row],[Anzahl Studierende ]]</f>
        <v>0</v>
      </c>
      <c r="P26" s="28">
        <f>IF(Tabelle2[[#This Row],[Verkehrsmittel]]="Flug", IF(AND(Tabelle2[[#This Row],[Entfernung (km) einfach]]&gt;1000,Tabelle2[[#This Row],[Entfernung (km) einfach]]&lt;2000),Tabelle2[[#This Row],[Entfernung (km) gesamt]], 0), 0)*Tabelle2[[#This Row],[Anzahl Studierende ]]</f>
        <v>0</v>
      </c>
      <c r="Q26" s="28">
        <f>IF(Tabelle2[[#This Row],[Verkehrsmittel]]="Flug", IF(AND(Tabelle2[[#This Row],[Entfernung (km) einfach]]&gt;2000,Tabelle2[[#This Row],[Entfernung (km) einfach]]&lt;5000),Tabelle2[[#This Row],[Entfernung (km) gesamt]], 0), 0)*Tabelle2[[#This Row],[Anzahl Studierende ]]</f>
        <v>0</v>
      </c>
      <c r="R26" s="28">
        <f>IF(Tabelle2[[#This Row],[Verkehrsmittel]]="Flug", IF(AND(Tabelle2[[#This Row],[Entfernung (km) einfach]]&gt;5000,Tabelle2[[#This Row],[Entfernung (km) einfach]]&lt;10000),Tabelle2[[#This Row],[Entfernung (km) gesamt]], 0), 0)*Tabelle2[[#This Row],[Anzahl Studierende ]]</f>
        <v>0</v>
      </c>
      <c r="S26" s="28">
        <f>IF(Tabelle2[[#This Row],[Verkehrsmittel]]="Flug", IF(AND(Tabelle2[[#This Row],[Entfernung (km) einfach]]&gt;10000),Tabelle2[[#This Row],[Entfernung (km) gesamt]]), 0)*Tabelle2[[#This Row],[Anzahl Studierende ]]</f>
        <v>0</v>
      </c>
      <c r="T26" s="28">
        <f>IF(Tabelle2[[#This Row],[Verkehrsmittel]]="Motorrad",Tabelle2[[#This Row],[Entfernung (km) gesamt]],0)*Tabelle2[[#This Row],[Anzahl Studierende ]]</f>
        <v>0</v>
      </c>
      <c r="U26" s="28">
        <f>IF(Tabelle2[[#This Row],[Verkehrsmittel]]="Straßen-, S-, U-Bahn",Tabelle2[[#This Row],[Entfernung (km) gesamt]],0)*Tabelle2[[#This Row],[Anzahl Studierende ]]</f>
        <v>0</v>
      </c>
      <c r="V26" s="29">
        <f>IF(Tabelle2[[#This Row],[Verkehrsmittel]]="Fahrrad",Tabelle2[[#This Row],[Entfernung (km) gesamt]],0)*Tabelle2[[#This Row],[Anzahl Studierende ]]</f>
        <v>0</v>
      </c>
    </row>
    <row r="27" spans="2:22">
      <c r="B27" s="109"/>
      <c r="C27" s="110"/>
      <c r="D27" s="32"/>
      <c r="E27" s="32"/>
      <c r="F27" s="32"/>
      <c r="G27" s="116"/>
      <c r="H27" s="117">
        <f>Tabelle2[[#This Row],[Entfernung (km) einfach]]*2</f>
        <v>0</v>
      </c>
      <c r="I27" s="32"/>
      <c r="J27" s="32"/>
      <c r="K27" s="113">
        <f>IF(Tabelle2[[#This Row],[Verkehrsmittel]]="Bus",Tabelle2[[#This Row],[Entfernung (km) gesamt]],0)*Tabelle2[[#This Row],[Anzahl Studierende ]]</f>
        <v>0</v>
      </c>
      <c r="L27" s="28">
        <f>IF(Tabelle2[[#This Row],[Verkehrsmittel]]="Bahn",Tabelle2[[#This Row],[Anzahl Studierende ]]*Tabelle2[[#This Row],[Entfernung (km) gesamt]],0)</f>
        <v>0</v>
      </c>
      <c r="M27" s="28">
        <f>IF(Tabelle2[[#This Row],[Verkehrsmittel]]="PKW",Tabelle2[[#This Row],[Anzahl Studierende ]]*Tabelle2[[#This Row],[Entfernung (km) gesamt]],0)</f>
        <v>0</v>
      </c>
      <c r="N27" s="28">
        <f>IF(Tabelle2[[#This Row],[Verkehrsmittel]]="Flug", IF(AND(Tabelle2[[#This Row],[Entfernung (km) einfach]]&lt;500),Tabelle2[[#This Row],[Entfernung (km) gesamt]]), 0)*Tabelle2[[#This Row],[Anzahl Studierende ]]</f>
        <v>0</v>
      </c>
      <c r="O27" s="28">
        <f>IF(Tabelle2[[#This Row],[Verkehrsmittel]]="Flug", IF(AND(Tabelle2[[#This Row],[Entfernung (km) einfach]]&gt;500,Tabelle2[[#This Row],[Entfernung (km) einfach]]&lt;1000),Tabelle2[[#This Row],[Entfernung (km) gesamt]], 0), 0)*Tabelle2[[#This Row],[Anzahl Studierende ]]</f>
        <v>0</v>
      </c>
      <c r="P27" s="28">
        <f>IF(Tabelle2[[#This Row],[Verkehrsmittel]]="Flug", IF(AND(Tabelle2[[#This Row],[Entfernung (km) einfach]]&gt;1000,Tabelle2[[#This Row],[Entfernung (km) einfach]]&lt;2000),Tabelle2[[#This Row],[Entfernung (km) gesamt]], 0), 0)*Tabelle2[[#This Row],[Anzahl Studierende ]]</f>
        <v>0</v>
      </c>
      <c r="Q27" s="28">
        <f>IF(Tabelle2[[#This Row],[Verkehrsmittel]]="Flug", IF(AND(Tabelle2[[#This Row],[Entfernung (km) einfach]]&gt;2000,Tabelle2[[#This Row],[Entfernung (km) einfach]]&lt;5000),Tabelle2[[#This Row],[Entfernung (km) gesamt]], 0), 0)*Tabelle2[[#This Row],[Anzahl Studierende ]]</f>
        <v>0</v>
      </c>
      <c r="R27" s="28">
        <f>IF(Tabelle2[[#This Row],[Verkehrsmittel]]="Flug", IF(AND(Tabelle2[[#This Row],[Entfernung (km) einfach]]&gt;5000,Tabelle2[[#This Row],[Entfernung (km) einfach]]&lt;10000),Tabelle2[[#This Row],[Entfernung (km) gesamt]], 0), 0)*Tabelle2[[#This Row],[Anzahl Studierende ]]</f>
        <v>0</v>
      </c>
      <c r="S27" s="28">
        <f>IF(Tabelle2[[#This Row],[Verkehrsmittel]]="Flug", IF(AND(Tabelle2[[#This Row],[Entfernung (km) einfach]]&gt;10000),Tabelle2[[#This Row],[Entfernung (km) gesamt]]), 0)*Tabelle2[[#This Row],[Anzahl Studierende ]]</f>
        <v>0</v>
      </c>
      <c r="T27" s="28">
        <f>IF(Tabelle2[[#This Row],[Verkehrsmittel]]="Motorrad",Tabelle2[[#This Row],[Entfernung (km) gesamt]],0)*Tabelle2[[#This Row],[Anzahl Studierende ]]</f>
        <v>0</v>
      </c>
      <c r="U27" s="28">
        <f>IF(Tabelle2[[#This Row],[Verkehrsmittel]]="Straßen-, S-, U-Bahn",Tabelle2[[#This Row],[Entfernung (km) gesamt]],0)*Tabelle2[[#This Row],[Anzahl Studierende ]]</f>
        <v>0</v>
      </c>
      <c r="V27" s="29">
        <f>IF(Tabelle2[[#This Row],[Verkehrsmittel]]="Fahrrad",Tabelle2[[#This Row],[Entfernung (km) gesamt]],0)*Tabelle2[[#This Row],[Anzahl Studierende ]]</f>
        <v>0</v>
      </c>
    </row>
    <row r="28" spans="2:22">
      <c r="B28" s="109"/>
      <c r="C28" s="110"/>
      <c r="D28" s="32"/>
      <c r="E28" s="32"/>
      <c r="F28" s="32"/>
      <c r="G28" s="116"/>
      <c r="H28" s="117">
        <f>Tabelle2[[#This Row],[Entfernung (km) einfach]]*2</f>
        <v>0</v>
      </c>
      <c r="I28" s="32"/>
      <c r="J28" s="32"/>
      <c r="K28" s="113">
        <f>IF(Tabelle2[[#This Row],[Verkehrsmittel]]="Bus",Tabelle2[[#This Row],[Entfernung (km) gesamt]],0)*Tabelle2[[#This Row],[Anzahl Studierende ]]</f>
        <v>0</v>
      </c>
      <c r="L28" s="28">
        <f>IF(Tabelle2[[#This Row],[Verkehrsmittel]]="Bahn",Tabelle2[[#This Row],[Anzahl Studierende ]]*Tabelle2[[#This Row],[Entfernung (km) gesamt]],0)</f>
        <v>0</v>
      </c>
      <c r="M28" s="28">
        <f>IF(Tabelle2[[#This Row],[Verkehrsmittel]]="PKW",Tabelle2[[#This Row],[Anzahl Studierende ]]*Tabelle2[[#This Row],[Entfernung (km) gesamt]],0)</f>
        <v>0</v>
      </c>
      <c r="N28" s="28">
        <f>IF(Tabelle2[[#This Row],[Verkehrsmittel]]="Flug", IF(AND(Tabelle2[[#This Row],[Entfernung (km) einfach]]&lt;500),Tabelle2[[#This Row],[Entfernung (km) gesamt]]), 0)*Tabelle2[[#This Row],[Anzahl Studierende ]]</f>
        <v>0</v>
      </c>
      <c r="O28" s="28">
        <f>IF(Tabelle2[[#This Row],[Verkehrsmittel]]="Flug", IF(AND(Tabelle2[[#This Row],[Entfernung (km) einfach]]&gt;500,Tabelle2[[#This Row],[Entfernung (km) einfach]]&lt;1000),Tabelle2[[#This Row],[Entfernung (km) gesamt]], 0), 0)*Tabelle2[[#This Row],[Anzahl Studierende ]]</f>
        <v>0</v>
      </c>
      <c r="P28" s="28">
        <f>IF(Tabelle2[[#This Row],[Verkehrsmittel]]="Flug", IF(AND(Tabelle2[[#This Row],[Entfernung (km) einfach]]&gt;1000,Tabelle2[[#This Row],[Entfernung (km) einfach]]&lt;2000),Tabelle2[[#This Row],[Entfernung (km) gesamt]], 0), 0)*Tabelle2[[#This Row],[Anzahl Studierende ]]</f>
        <v>0</v>
      </c>
      <c r="Q28" s="28">
        <f>IF(Tabelle2[[#This Row],[Verkehrsmittel]]="Flug", IF(AND(Tabelle2[[#This Row],[Entfernung (km) einfach]]&gt;2000,Tabelle2[[#This Row],[Entfernung (km) einfach]]&lt;5000),Tabelle2[[#This Row],[Entfernung (km) gesamt]], 0), 0)*Tabelle2[[#This Row],[Anzahl Studierende ]]</f>
        <v>0</v>
      </c>
      <c r="R28" s="28">
        <f>IF(Tabelle2[[#This Row],[Verkehrsmittel]]="Flug", IF(AND(Tabelle2[[#This Row],[Entfernung (km) einfach]]&gt;5000,Tabelle2[[#This Row],[Entfernung (km) einfach]]&lt;10000),Tabelle2[[#This Row],[Entfernung (km) gesamt]], 0), 0)*Tabelle2[[#This Row],[Anzahl Studierende ]]</f>
        <v>0</v>
      </c>
      <c r="S28" s="28">
        <f>IF(Tabelle2[[#This Row],[Verkehrsmittel]]="Flug", IF(AND(Tabelle2[[#This Row],[Entfernung (km) einfach]]&gt;10000),Tabelle2[[#This Row],[Entfernung (km) gesamt]]), 0)*Tabelle2[[#This Row],[Anzahl Studierende ]]</f>
        <v>0</v>
      </c>
      <c r="T28" s="28">
        <f>IF(Tabelle2[[#This Row],[Verkehrsmittel]]="Motorrad",Tabelle2[[#This Row],[Entfernung (km) gesamt]],0)*Tabelle2[[#This Row],[Anzahl Studierende ]]</f>
        <v>0</v>
      </c>
      <c r="U28" s="28">
        <f>IF(Tabelle2[[#This Row],[Verkehrsmittel]]="Straßen-, S-, U-Bahn",Tabelle2[[#This Row],[Entfernung (km) gesamt]],0)*Tabelle2[[#This Row],[Anzahl Studierende ]]</f>
        <v>0</v>
      </c>
      <c r="V28" s="29">
        <f>IF(Tabelle2[[#This Row],[Verkehrsmittel]]="Fahrrad",Tabelle2[[#This Row],[Entfernung (km) gesamt]],0)*Tabelle2[[#This Row],[Anzahl Studierende ]]</f>
        <v>0</v>
      </c>
    </row>
    <row r="29" spans="2:22">
      <c r="B29" s="109"/>
      <c r="C29" s="110"/>
      <c r="D29" s="32"/>
      <c r="E29" s="32"/>
      <c r="F29" s="32"/>
      <c r="G29" s="32"/>
      <c r="H29" s="111">
        <f>Tabelle2[[#This Row],[Entfernung (km) einfach]]*2</f>
        <v>0</v>
      </c>
      <c r="I29" s="32"/>
      <c r="J29" s="112"/>
      <c r="K29" s="113">
        <f>IF(Tabelle2[[#This Row],[Verkehrsmittel]]="Bus",Tabelle2[[#This Row],[Entfernung (km) gesamt]],0)*Tabelle2[[#This Row],[Anzahl Studierende ]]</f>
        <v>0</v>
      </c>
      <c r="L29" s="28">
        <f>IF(Tabelle2[[#This Row],[Verkehrsmittel]]="Bahn",Tabelle2[[#This Row],[Anzahl Studierende ]]*Tabelle2[[#This Row],[Entfernung (km) gesamt]],0)</f>
        <v>0</v>
      </c>
      <c r="M29" s="28">
        <f>IF(Tabelle2[[#This Row],[Verkehrsmittel]]="PKW",Tabelle2[[#This Row],[Anzahl Studierende ]]*Tabelle2[[#This Row],[Entfernung (km) gesamt]],0)</f>
        <v>0</v>
      </c>
      <c r="N29" s="28">
        <f>IF(Tabelle2[[#This Row],[Verkehrsmittel]]="Flug", IF(AND(Tabelle2[[#This Row],[Entfernung (km) einfach]]&lt;500),Tabelle2[[#This Row],[Entfernung (km) gesamt]]), 0)*Tabelle2[[#This Row],[Anzahl Studierende ]]</f>
        <v>0</v>
      </c>
      <c r="O29" s="28">
        <f>IF(Tabelle2[[#This Row],[Verkehrsmittel]]="Flug", IF(AND(Tabelle2[[#This Row],[Entfernung (km) einfach]]&gt;500,Tabelle2[[#This Row],[Entfernung (km) einfach]]&lt;1000),Tabelle2[[#This Row],[Entfernung (km) gesamt]], 0), 0)*Tabelle2[[#This Row],[Anzahl Studierende ]]</f>
        <v>0</v>
      </c>
      <c r="P29" s="28">
        <f>IF(Tabelle2[[#This Row],[Verkehrsmittel]]="Flug", IF(AND(Tabelle2[[#This Row],[Entfernung (km) einfach]]&gt;1000,Tabelle2[[#This Row],[Entfernung (km) einfach]]&lt;2000),Tabelle2[[#This Row],[Entfernung (km) gesamt]], 0), 0)*Tabelle2[[#This Row],[Anzahl Studierende ]]</f>
        <v>0</v>
      </c>
      <c r="Q29" s="28">
        <f>IF(Tabelle2[[#This Row],[Verkehrsmittel]]="Flug", IF(AND(Tabelle2[[#This Row],[Entfernung (km) einfach]]&gt;2000,Tabelle2[[#This Row],[Entfernung (km) einfach]]&lt;5000),Tabelle2[[#This Row],[Entfernung (km) gesamt]], 0), 0)*Tabelle2[[#This Row],[Anzahl Studierende ]]</f>
        <v>0</v>
      </c>
      <c r="R29" s="28">
        <f>IF(Tabelle2[[#This Row],[Verkehrsmittel]]="Flug", IF(AND(Tabelle2[[#This Row],[Entfernung (km) einfach]]&gt;5000,Tabelle2[[#This Row],[Entfernung (km) einfach]]&lt;10000),Tabelle2[[#This Row],[Entfernung (km) gesamt]], 0), 0)*Tabelle2[[#This Row],[Anzahl Studierende ]]</f>
        <v>0</v>
      </c>
      <c r="S29" s="28">
        <f>IF(Tabelle2[[#This Row],[Verkehrsmittel]]="Flug", IF(AND(Tabelle2[[#This Row],[Entfernung (km) einfach]]&gt;10000),Tabelle2[[#This Row],[Entfernung (km) gesamt]]), 0)*Tabelle2[[#This Row],[Anzahl Studierende ]]</f>
        <v>0</v>
      </c>
      <c r="T29" s="28">
        <f>IF(Tabelle2[[#This Row],[Verkehrsmittel]]="Motorrad",Tabelle2[[#This Row],[Entfernung (km) gesamt]],0)*Tabelle2[[#This Row],[Anzahl Studierende ]]</f>
        <v>0</v>
      </c>
      <c r="U29" s="28">
        <f>IF(Tabelle2[[#This Row],[Verkehrsmittel]]="Straßen-, S-, U-Bahn",Tabelle2[[#This Row],[Entfernung (km) gesamt]],0)*Tabelle2[[#This Row],[Anzahl Studierende ]]</f>
        <v>0</v>
      </c>
      <c r="V29" s="29">
        <f>IF(Tabelle2[[#This Row],[Verkehrsmittel]]="Fahrrad",Tabelle2[[#This Row],[Entfernung (km) gesamt]],0)*Tabelle2[[#This Row],[Anzahl Studierende ]]</f>
        <v>0</v>
      </c>
    </row>
    <row r="30" spans="2:22">
      <c r="B30" s="109"/>
      <c r="C30" s="110"/>
      <c r="D30" s="32"/>
      <c r="E30" s="32"/>
      <c r="F30" s="32"/>
      <c r="G30" s="32"/>
      <c r="H30" s="111">
        <f>Tabelle2[[#This Row],[Entfernung (km) einfach]]*2</f>
        <v>0</v>
      </c>
      <c r="I30" s="32"/>
      <c r="J30" s="32"/>
      <c r="K30" s="113">
        <f>IF(Tabelle2[[#This Row],[Verkehrsmittel]]="Bus",Tabelle2[[#This Row],[Entfernung (km) gesamt]],0)*Tabelle2[[#This Row],[Anzahl Studierende ]]</f>
        <v>0</v>
      </c>
      <c r="L30" s="28">
        <f>IF(Tabelle2[[#This Row],[Verkehrsmittel]]="Bahn",Tabelle2[[#This Row],[Anzahl Studierende ]]*Tabelle2[[#This Row],[Entfernung (km) gesamt]],0)</f>
        <v>0</v>
      </c>
      <c r="M30" s="28">
        <f>IF(Tabelle2[[#This Row],[Verkehrsmittel]]="PKW",Tabelle2[[#This Row],[Anzahl Studierende ]]*Tabelle2[[#This Row],[Entfernung (km) gesamt]],0)</f>
        <v>0</v>
      </c>
      <c r="N30" s="28">
        <f>IF(Tabelle2[[#This Row],[Verkehrsmittel]]="Flug", IF(AND(Tabelle2[[#This Row],[Entfernung (km) einfach]]&lt;500),Tabelle2[[#This Row],[Entfernung (km) gesamt]]), 0)*Tabelle2[[#This Row],[Anzahl Studierende ]]</f>
        <v>0</v>
      </c>
      <c r="O30" s="28">
        <f>IF(Tabelle2[[#This Row],[Verkehrsmittel]]="Flug", IF(AND(Tabelle2[[#This Row],[Entfernung (km) einfach]]&gt;500,Tabelle2[[#This Row],[Entfernung (km) einfach]]&lt;1000),Tabelle2[[#This Row],[Entfernung (km) gesamt]], 0), 0)*Tabelle2[[#This Row],[Anzahl Studierende ]]</f>
        <v>0</v>
      </c>
      <c r="P30" s="28">
        <f>IF(Tabelle2[[#This Row],[Verkehrsmittel]]="Flug", IF(AND(Tabelle2[[#This Row],[Entfernung (km) einfach]]&gt;1000,Tabelle2[[#This Row],[Entfernung (km) einfach]]&lt;2000),Tabelle2[[#This Row],[Entfernung (km) gesamt]], 0), 0)*Tabelle2[[#This Row],[Anzahl Studierende ]]</f>
        <v>0</v>
      </c>
      <c r="Q30" s="28">
        <f>IF(Tabelle2[[#This Row],[Verkehrsmittel]]="Flug", IF(AND(Tabelle2[[#This Row],[Entfernung (km) einfach]]&gt;2000,Tabelle2[[#This Row],[Entfernung (km) einfach]]&lt;5000),Tabelle2[[#This Row],[Entfernung (km) gesamt]], 0), 0)*Tabelle2[[#This Row],[Anzahl Studierende ]]</f>
        <v>0</v>
      </c>
      <c r="R30" s="28">
        <f>IF(Tabelle2[[#This Row],[Verkehrsmittel]]="Flug", IF(AND(Tabelle2[[#This Row],[Entfernung (km) einfach]]&gt;5000,Tabelle2[[#This Row],[Entfernung (km) einfach]]&lt;10000),Tabelle2[[#This Row],[Entfernung (km) gesamt]], 0), 0)*Tabelle2[[#This Row],[Anzahl Studierende ]]</f>
        <v>0</v>
      </c>
      <c r="S30" s="28">
        <f>IF(Tabelle2[[#This Row],[Verkehrsmittel]]="Flug", IF(AND(Tabelle2[[#This Row],[Entfernung (km) einfach]]&gt;10000),Tabelle2[[#This Row],[Entfernung (km) gesamt]]), 0)*Tabelle2[[#This Row],[Anzahl Studierende ]]</f>
        <v>0</v>
      </c>
      <c r="T30" s="28">
        <f>IF(Tabelle2[[#This Row],[Verkehrsmittel]]="Motorrad",Tabelle2[[#This Row],[Entfernung (km) gesamt]],0)*Tabelle2[[#This Row],[Anzahl Studierende ]]</f>
        <v>0</v>
      </c>
      <c r="U30" s="28">
        <f>IF(Tabelle2[[#This Row],[Verkehrsmittel]]="Straßen-, S-, U-Bahn",Tabelle2[[#This Row],[Entfernung (km) gesamt]],0)*Tabelle2[[#This Row],[Anzahl Studierende ]]</f>
        <v>0</v>
      </c>
      <c r="V30" s="29">
        <f>IF(Tabelle2[[#This Row],[Verkehrsmittel]]="Fahrrad",Tabelle2[[#This Row],[Entfernung (km) gesamt]],0)*Tabelle2[[#This Row],[Anzahl Studierende ]]</f>
        <v>0</v>
      </c>
    </row>
    <row r="31" spans="2:22">
      <c r="B31" s="109"/>
      <c r="C31" s="110"/>
      <c r="D31" s="32"/>
      <c r="E31" s="32"/>
      <c r="F31" s="32"/>
      <c r="G31" s="32"/>
      <c r="H31" s="111">
        <f>Tabelle2[[#This Row],[Entfernung (km) einfach]]*2</f>
        <v>0</v>
      </c>
      <c r="I31" s="32"/>
      <c r="J31" s="32"/>
      <c r="K31" s="113">
        <f>IF(Tabelle2[[#This Row],[Verkehrsmittel]]="Bus",Tabelle2[[#This Row],[Entfernung (km) gesamt]],0)*Tabelle2[[#This Row],[Anzahl Studierende ]]</f>
        <v>0</v>
      </c>
      <c r="L31" s="28">
        <f>IF(Tabelle2[[#This Row],[Verkehrsmittel]]="Bahn",Tabelle2[[#This Row],[Anzahl Studierende ]]*Tabelle2[[#This Row],[Entfernung (km) gesamt]],0)</f>
        <v>0</v>
      </c>
      <c r="M31" s="28">
        <f>IF(Tabelle2[[#This Row],[Verkehrsmittel]]="PKW",Tabelle2[[#This Row],[Anzahl Studierende ]]*Tabelle2[[#This Row],[Entfernung (km) gesamt]],0)</f>
        <v>0</v>
      </c>
      <c r="N31" s="28">
        <f>IF(Tabelle2[[#This Row],[Verkehrsmittel]]="Flug", IF(AND(Tabelle2[[#This Row],[Entfernung (km) einfach]]&lt;500),Tabelle2[[#This Row],[Entfernung (km) gesamt]]), 0)*Tabelle2[[#This Row],[Anzahl Studierende ]]</f>
        <v>0</v>
      </c>
      <c r="O31" s="28">
        <f>IF(Tabelle2[[#This Row],[Verkehrsmittel]]="Flug", IF(AND(Tabelle2[[#This Row],[Entfernung (km) einfach]]&gt;500,Tabelle2[[#This Row],[Entfernung (km) einfach]]&lt;1000),Tabelle2[[#This Row],[Entfernung (km) gesamt]], 0), 0)*Tabelle2[[#This Row],[Anzahl Studierende ]]</f>
        <v>0</v>
      </c>
      <c r="P31" s="28">
        <f>IF(Tabelle2[[#This Row],[Verkehrsmittel]]="Flug", IF(AND(Tabelle2[[#This Row],[Entfernung (km) einfach]]&gt;1000,Tabelle2[[#This Row],[Entfernung (km) einfach]]&lt;2000),Tabelle2[[#This Row],[Entfernung (km) gesamt]], 0), 0)*Tabelle2[[#This Row],[Anzahl Studierende ]]</f>
        <v>0</v>
      </c>
      <c r="Q31" s="28">
        <f>IF(Tabelle2[[#This Row],[Verkehrsmittel]]="Flug", IF(AND(Tabelle2[[#This Row],[Entfernung (km) einfach]]&gt;2000,Tabelle2[[#This Row],[Entfernung (km) einfach]]&lt;5000),Tabelle2[[#This Row],[Entfernung (km) gesamt]], 0), 0)*Tabelle2[[#This Row],[Anzahl Studierende ]]</f>
        <v>0</v>
      </c>
      <c r="R31" s="28">
        <f>IF(Tabelle2[[#This Row],[Verkehrsmittel]]="Flug", IF(AND(Tabelle2[[#This Row],[Entfernung (km) einfach]]&gt;5000,Tabelle2[[#This Row],[Entfernung (km) einfach]]&lt;10000),Tabelle2[[#This Row],[Entfernung (km) gesamt]], 0), 0)*Tabelle2[[#This Row],[Anzahl Studierende ]]</f>
        <v>0</v>
      </c>
      <c r="S31" s="28">
        <f>IF(Tabelle2[[#This Row],[Verkehrsmittel]]="Flug", IF(AND(Tabelle2[[#This Row],[Entfernung (km) einfach]]&gt;10000),Tabelle2[[#This Row],[Entfernung (km) gesamt]]), 0)*Tabelle2[[#This Row],[Anzahl Studierende ]]</f>
        <v>0</v>
      </c>
      <c r="T31" s="28">
        <f>IF(Tabelle2[[#This Row],[Verkehrsmittel]]="Motorrad",Tabelle2[[#This Row],[Entfernung (km) gesamt]],0)*Tabelle2[[#This Row],[Anzahl Studierende ]]</f>
        <v>0</v>
      </c>
      <c r="U31" s="28">
        <f>IF(Tabelle2[[#This Row],[Verkehrsmittel]]="Straßen-, S-, U-Bahn",Tabelle2[[#This Row],[Entfernung (km) gesamt]],0)*Tabelle2[[#This Row],[Anzahl Studierende ]]</f>
        <v>0</v>
      </c>
      <c r="V31" s="29">
        <f>IF(Tabelle2[[#This Row],[Verkehrsmittel]]="Fahrrad",Tabelle2[[#This Row],[Entfernung (km) gesamt]],0)*Tabelle2[[#This Row],[Anzahl Studierende ]]</f>
        <v>0</v>
      </c>
    </row>
    <row r="32" spans="2:22">
      <c r="B32" s="109"/>
      <c r="C32" s="110"/>
      <c r="D32" s="32"/>
      <c r="E32" s="32"/>
      <c r="F32" s="32"/>
      <c r="G32" s="32"/>
      <c r="H32" s="111">
        <f>Tabelle2[[#This Row],[Entfernung (km) einfach]]*2</f>
        <v>0</v>
      </c>
      <c r="I32" s="32"/>
      <c r="J32" s="32"/>
      <c r="K32" s="113">
        <f>IF(Tabelle2[[#This Row],[Verkehrsmittel]]="Bus",Tabelle2[[#This Row],[Entfernung (km) gesamt]],0)*Tabelle2[[#This Row],[Anzahl Studierende ]]</f>
        <v>0</v>
      </c>
      <c r="L32" s="28">
        <f>IF(Tabelle2[[#This Row],[Verkehrsmittel]]="Bahn",Tabelle2[[#This Row],[Anzahl Studierende ]]*Tabelle2[[#This Row],[Entfernung (km) gesamt]],0)</f>
        <v>0</v>
      </c>
      <c r="M32" s="28">
        <f>IF(Tabelle2[[#This Row],[Verkehrsmittel]]="PKW",Tabelle2[[#This Row],[Anzahl Studierende ]]*Tabelle2[[#This Row],[Entfernung (km) gesamt]],0)</f>
        <v>0</v>
      </c>
      <c r="N32" s="28">
        <f>IF(Tabelle2[[#This Row],[Verkehrsmittel]]="Flug", IF(AND(Tabelle2[[#This Row],[Entfernung (km) einfach]]&lt;500),Tabelle2[[#This Row],[Entfernung (km) gesamt]]), 0)*Tabelle2[[#This Row],[Anzahl Studierende ]]</f>
        <v>0</v>
      </c>
      <c r="O32" s="28">
        <f>IF(Tabelle2[[#This Row],[Verkehrsmittel]]="Flug", IF(AND(Tabelle2[[#This Row],[Entfernung (km) einfach]]&gt;500,Tabelle2[[#This Row],[Entfernung (km) einfach]]&lt;1000),Tabelle2[[#This Row],[Entfernung (km) gesamt]], 0), 0)*Tabelle2[[#This Row],[Anzahl Studierende ]]</f>
        <v>0</v>
      </c>
      <c r="P32" s="28">
        <f>IF(Tabelle2[[#This Row],[Verkehrsmittel]]="Flug", IF(AND(Tabelle2[[#This Row],[Entfernung (km) einfach]]&gt;1000,Tabelle2[[#This Row],[Entfernung (km) einfach]]&lt;2000),Tabelle2[[#This Row],[Entfernung (km) gesamt]], 0), 0)*Tabelle2[[#This Row],[Anzahl Studierende ]]</f>
        <v>0</v>
      </c>
      <c r="Q32" s="28">
        <f>IF(Tabelle2[[#This Row],[Verkehrsmittel]]="Flug", IF(AND(Tabelle2[[#This Row],[Entfernung (km) einfach]]&gt;2000,Tabelle2[[#This Row],[Entfernung (km) einfach]]&lt;5000),Tabelle2[[#This Row],[Entfernung (km) gesamt]], 0), 0)*Tabelle2[[#This Row],[Anzahl Studierende ]]</f>
        <v>0</v>
      </c>
      <c r="R32" s="28">
        <f>IF(Tabelle2[[#This Row],[Verkehrsmittel]]="Flug", IF(AND(Tabelle2[[#This Row],[Entfernung (km) einfach]]&gt;5000,Tabelle2[[#This Row],[Entfernung (km) einfach]]&lt;10000),Tabelle2[[#This Row],[Entfernung (km) gesamt]], 0), 0)*Tabelle2[[#This Row],[Anzahl Studierende ]]</f>
        <v>0</v>
      </c>
      <c r="S32" s="28">
        <f>IF(Tabelle2[[#This Row],[Verkehrsmittel]]="Flug", IF(AND(Tabelle2[[#This Row],[Entfernung (km) einfach]]&gt;10000),Tabelle2[[#This Row],[Entfernung (km) gesamt]]), 0)*Tabelle2[[#This Row],[Anzahl Studierende ]]</f>
        <v>0</v>
      </c>
      <c r="T32" s="28">
        <f>IF(Tabelle2[[#This Row],[Verkehrsmittel]]="Motorrad",Tabelle2[[#This Row],[Entfernung (km) gesamt]],0)*Tabelle2[[#This Row],[Anzahl Studierende ]]</f>
        <v>0</v>
      </c>
      <c r="U32" s="28">
        <f>IF(Tabelle2[[#This Row],[Verkehrsmittel]]="Straßen-, S-, U-Bahn",Tabelle2[[#This Row],[Entfernung (km) gesamt]],0)*Tabelle2[[#This Row],[Anzahl Studierende ]]</f>
        <v>0</v>
      </c>
      <c r="V32" s="29">
        <f>IF(Tabelle2[[#This Row],[Verkehrsmittel]]="Fahrrad",Tabelle2[[#This Row],[Entfernung (km) gesamt]],0)*Tabelle2[[#This Row],[Anzahl Studierende ]]</f>
        <v>0</v>
      </c>
    </row>
    <row r="33" spans="2:22">
      <c r="B33" s="109"/>
      <c r="C33" s="110"/>
      <c r="D33" s="114"/>
      <c r="E33" s="32"/>
      <c r="F33" s="32"/>
      <c r="G33" s="32"/>
      <c r="H33" s="111">
        <f>Tabelle2[[#This Row],[Entfernung (km) einfach]]*2</f>
        <v>0</v>
      </c>
      <c r="I33" s="32"/>
      <c r="J33" s="115"/>
      <c r="K33" s="113">
        <f>IF(Tabelle2[[#This Row],[Verkehrsmittel]]="Bus",Tabelle2[[#This Row],[Entfernung (km) gesamt]],0)*Tabelle2[[#This Row],[Anzahl Studierende ]]</f>
        <v>0</v>
      </c>
      <c r="L33" s="28">
        <f>IF(Tabelle2[[#This Row],[Verkehrsmittel]]="Bahn",Tabelle2[[#This Row],[Anzahl Studierende ]]*Tabelle2[[#This Row],[Entfernung (km) gesamt]],0)</f>
        <v>0</v>
      </c>
      <c r="M33" s="28">
        <f>IF(Tabelle2[[#This Row],[Verkehrsmittel]]="PKW",Tabelle2[[#This Row],[Anzahl Studierende ]]*Tabelle2[[#This Row],[Entfernung (km) gesamt]],0)</f>
        <v>0</v>
      </c>
      <c r="N33" s="28">
        <f>IF(Tabelle2[[#This Row],[Verkehrsmittel]]="Flug", IF(AND(Tabelle2[[#This Row],[Entfernung (km) einfach]]&lt;500),Tabelle2[[#This Row],[Entfernung (km) gesamt]]), 0)*Tabelle2[[#This Row],[Anzahl Studierende ]]</f>
        <v>0</v>
      </c>
      <c r="O33" s="28">
        <f>IF(Tabelle2[[#This Row],[Verkehrsmittel]]="Flug", IF(AND(Tabelle2[[#This Row],[Entfernung (km) einfach]]&gt;500,Tabelle2[[#This Row],[Entfernung (km) einfach]]&lt;1000),Tabelle2[[#This Row],[Entfernung (km) gesamt]], 0), 0)*Tabelle2[[#This Row],[Anzahl Studierende ]]</f>
        <v>0</v>
      </c>
      <c r="P33" s="28">
        <f>IF(Tabelle2[[#This Row],[Verkehrsmittel]]="Flug", IF(AND(Tabelle2[[#This Row],[Entfernung (km) einfach]]&gt;1000,Tabelle2[[#This Row],[Entfernung (km) einfach]]&lt;2000),Tabelle2[[#This Row],[Entfernung (km) gesamt]], 0), 0)*Tabelle2[[#This Row],[Anzahl Studierende ]]</f>
        <v>0</v>
      </c>
      <c r="Q33" s="28">
        <f>IF(Tabelle2[[#This Row],[Verkehrsmittel]]="Flug", IF(AND(Tabelle2[[#This Row],[Entfernung (km) einfach]]&gt;2000,Tabelle2[[#This Row],[Entfernung (km) einfach]]&lt;5000),Tabelle2[[#This Row],[Entfernung (km) gesamt]], 0), 0)*Tabelle2[[#This Row],[Anzahl Studierende ]]</f>
        <v>0</v>
      </c>
      <c r="R33" s="28">
        <f>IF(Tabelle2[[#This Row],[Verkehrsmittel]]="Flug", IF(AND(Tabelle2[[#This Row],[Entfernung (km) einfach]]&gt;5000,Tabelle2[[#This Row],[Entfernung (km) einfach]]&lt;10000),Tabelle2[[#This Row],[Entfernung (km) gesamt]], 0), 0)*Tabelle2[[#This Row],[Anzahl Studierende ]]</f>
        <v>0</v>
      </c>
      <c r="S33" s="28">
        <f>IF(Tabelle2[[#This Row],[Verkehrsmittel]]="Flug", IF(AND(Tabelle2[[#This Row],[Entfernung (km) einfach]]&gt;10000),Tabelle2[[#This Row],[Entfernung (km) gesamt]]), 0)*Tabelle2[[#This Row],[Anzahl Studierende ]]</f>
        <v>0</v>
      </c>
      <c r="T33" s="28">
        <f>IF(Tabelle2[[#This Row],[Verkehrsmittel]]="Motorrad",Tabelle2[[#This Row],[Entfernung (km) gesamt]],0)*Tabelle2[[#This Row],[Anzahl Studierende ]]</f>
        <v>0</v>
      </c>
      <c r="U33" s="28">
        <f>IF(Tabelle2[[#This Row],[Verkehrsmittel]]="Straßen-, S-, U-Bahn",Tabelle2[[#This Row],[Entfernung (km) gesamt]],0)*Tabelle2[[#This Row],[Anzahl Studierende ]]</f>
        <v>0</v>
      </c>
      <c r="V33" s="29">
        <f>IF(Tabelle2[[#This Row],[Verkehrsmittel]]="Fahrrad",Tabelle2[[#This Row],[Entfernung (km) gesamt]],0)*Tabelle2[[#This Row],[Anzahl Studierende ]]</f>
        <v>0</v>
      </c>
    </row>
    <row r="34" spans="2:22">
      <c r="B34" s="109"/>
      <c r="C34" s="110"/>
      <c r="D34" s="32"/>
      <c r="E34" s="32"/>
      <c r="F34" s="32"/>
      <c r="G34" s="32"/>
      <c r="H34" s="111">
        <f>Tabelle2[[#This Row],[Entfernung (km) einfach]]*2</f>
        <v>0</v>
      </c>
      <c r="I34" s="32"/>
      <c r="J34" s="32"/>
      <c r="K34" s="113">
        <f>IF(Tabelle2[[#This Row],[Verkehrsmittel]]="Bus",Tabelle2[[#This Row],[Entfernung (km) gesamt]],0)*Tabelle2[[#This Row],[Anzahl Studierende ]]</f>
        <v>0</v>
      </c>
      <c r="L34" s="28">
        <f>IF(Tabelle2[[#This Row],[Verkehrsmittel]]="Bahn",Tabelle2[[#This Row],[Anzahl Studierende ]]*Tabelle2[[#This Row],[Entfernung (km) gesamt]],0)</f>
        <v>0</v>
      </c>
      <c r="M34" s="28">
        <f>IF(Tabelle2[[#This Row],[Verkehrsmittel]]="PKW",Tabelle2[[#This Row],[Anzahl Studierende ]]*Tabelle2[[#This Row],[Entfernung (km) gesamt]],0)</f>
        <v>0</v>
      </c>
      <c r="N34" s="28">
        <f>IF(Tabelle2[[#This Row],[Verkehrsmittel]]="Flug", IF(AND(Tabelle2[[#This Row],[Entfernung (km) einfach]]&lt;500),Tabelle2[[#This Row],[Entfernung (km) gesamt]]), 0)*Tabelle2[[#This Row],[Anzahl Studierende ]]</f>
        <v>0</v>
      </c>
      <c r="O34" s="28">
        <f>IF(Tabelle2[[#This Row],[Verkehrsmittel]]="Flug", IF(AND(Tabelle2[[#This Row],[Entfernung (km) einfach]]&gt;500,Tabelle2[[#This Row],[Entfernung (km) einfach]]&lt;1000),Tabelle2[[#This Row],[Entfernung (km) gesamt]], 0), 0)*Tabelle2[[#This Row],[Anzahl Studierende ]]</f>
        <v>0</v>
      </c>
      <c r="P34" s="28">
        <f>IF(Tabelle2[[#This Row],[Verkehrsmittel]]="Flug", IF(AND(Tabelle2[[#This Row],[Entfernung (km) einfach]]&gt;1000,Tabelle2[[#This Row],[Entfernung (km) einfach]]&lt;2000),Tabelle2[[#This Row],[Entfernung (km) gesamt]], 0), 0)*Tabelle2[[#This Row],[Anzahl Studierende ]]</f>
        <v>0</v>
      </c>
      <c r="Q34" s="28">
        <f>IF(Tabelle2[[#This Row],[Verkehrsmittel]]="Flug", IF(AND(Tabelle2[[#This Row],[Entfernung (km) einfach]]&gt;2000,Tabelle2[[#This Row],[Entfernung (km) einfach]]&lt;5000),Tabelle2[[#This Row],[Entfernung (km) gesamt]], 0), 0)*Tabelle2[[#This Row],[Anzahl Studierende ]]</f>
        <v>0</v>
      </c>
      <c r="R34" s="28">
        <f>IF(Tabelle2[[#This Row],[Verkehrsmittel]]="Flug", IF(AND(Tabelle2[[#This Row],[Entfernung (km) einfach]]&gt;5000,Tabelle2[[#This Row],[Entfernung (km) einfach]]&lt;10000),Tabelle2[[#This Row],[Entfernung (km) gesamt]], 0), 0)*Tabelle2[[#This Row],[Anzahl Studierende ]]</f>
        <v>0</v>
      </c>
      <c r="S34" s="28">
        <f>IF(Tabelle2[[#This Row],[Verkehrsmittel]]="Flug", IF(AND(Tabelle2[[#This Row],[Entfernung (km) einfach]]&gt;10000),Tabelle2[[#This Row],[Entfernung (km) gesamt]]), 0)*Tabelle2[[#This Row],[Anzahl Studierende ]]</f>
        <v>0</v>
      </c>
      <c r="T34" s="28">
        <f>IF(Tabelle2[[#This Row],[Verkehrsmittel]]="Motorrad",Tabelle2[[#This Row],[Entfernung (km) gesamt]],0)*Tabelle2[[#This Row],[Anzahl Studierende ]]</f>
        <v>0</v>
      </c>
      <c r="U34" s="28">
        <f>IF(Tabelle2[[#This Row],[Verkehrsmittel]]="Straßen-, S-, U-Bahn",Tabelle2[[#This Row],[Entfernung (km) gesamt]],0)*Tabelle2[[#This Row],[Anzahl Studierende ]]</f>
        <v>0</v>
      </c>
      <c r="V34" s="29">
        <f>IF(Tabelle2[[#This Row],[Verkehrsmittel]]="Fahrrad",Tabelle2[[#This Row],[Entfernung (km) gesamt]],0)*Tabelle2[[#This Row],[Anzahl Studierende ]]</f>
        <v>0</v>
      </c>
    </row>
    <row r="35" spans="2:22">
      <c r="B35" s="109"/>
      <c r="C35" s="110"/>
      <c r="D35" s="32"/>
      <c r="E35" s="32"/>
      <c r="F35" s="32"/>
      <c r="G35" s="32"/>
      <c r="H35" s="111">
        <f>Tabelle2[[#This Row],[Entfernung (km) einfach]]*2</f>
        <v>0</v>
      </c>
      <c r="I35" s="32"/>
      <c r="J35" s="32"/>
      <c r="K35" s="113">
        <f>IF(Tabelle2[[#This Row],[Verkehrsmittel]]="Bus",Tabelle2[[#This Row],[Entfernung (km) gesamt]],0)*Tabelle2[[#This Row],[Anzahl Studierende ]]</f>
        <v>0</v>
      </c>
      <c r="L35" s="28">
        <f>IF(Tabelle2[[#This Row],[Verkehrsmittel]]="Bahn",Tabelle2[[#This Row],[Anzahl Studierende ]]*Tabelle2[[#This Row],[Entfernung (km) gesamt]],0)</f>
        <v>0</v>
      </c>
      <c r="M35" s="28">
        <f>IF(Tabelle2[[#This Row],[Verkehrsmittel]]="PKW",Tabelle2[[#This Row],[Anzahl Studierende ]]*Tabelle2[[#This Row],[Entfernung (km) gesamt]],0)</f>
        <v>0</v>
      </c>
      <c r="N35" s="28">
        <f>IF(Tabelle2[[#This Row],[Verkehrsmittel]]="Flug", IF(AND(Tabelle2[[#This Row],[Entfernung (km) einfach]]&lt;500),Tabelle2[[#This Row],[Entfernung (km) gesamt]]), 0)*Tabelle2[[#This Row],[Anzahl Studierende ]]</f>
        <v>0</v>
      </c>
      <c r="O35" s="28">
        <f>IF(Tabelle2[[#This Row],[Verkehrsmittel]]="Flug", IF(AND(Tabelle2[[#This Row],[Entfernung (km) einfach]]&gt;500,Tabelle2[[#This Row],[Entfernung (km) einfach]]&lt;1000),Tabelle2[[#This Row],[Entfernung (km) gesamt]], 0), 0)*Tabelle2[[#This Row],[Anzahl Studierende ]]</f>
        <v>0</v>
      </c>
      <c r="P35" s="28">
        <f>IF(Tabelle2[[#This Row],[Verkehrsmittel]]="Flug", IF(AND(Tabelle2[[#This Row],[Entfernung (km) einfach]]&gt;1000,Tabelle2[[#This Row],[Entfernung (km) einfach]]&lt;2000),Tabelle2[[#This Row],[Entfernung (km) gesamt]], 0), 0)*Tabelle2[[#This Row],[Anzahl Studierende ]]</f>
        <v>0</v>
      </c>
      <c r="Q35" s="28">
        <f>IF(Tabelle2[[#This Row],[Verkehrsmittel]]="Flug", IF(AND(Tabelle2[[#This Row],[Entfernung (km) einfach]]&gt;2000,Tabelle2[[#This Row],[Entfernung (km) einfach]]&lt;5000),Tabelle2[[#This Row],[Entfernung (km) gesamt]], 0), 0)*Tabelle2[[#This Row],[Anzahl Studierende ]]</f>
        <v>0</v>
      </c>
      <c r="R35" s="28">
        <f>IF(Tabelle2[[#This Row],[Verkehrsmittel]]="Flug", IF(AND(Tabelle2[[#This Row],[Entfernung (km) einfach]]&gt;5000,Tabelle2[[#This Row],[Entfernung (km) einfach]]&lt;10000),Tabelle2[[#This Row],[Entfernung (km) gesamt]], 0), 0)*Tabelle2[[#This Row],[Anzahl Studierende ]]</f>
        <v>0</v>
      </c>
      <c r="S35" s="28">
        <f>IF(Tabelle2[[#This Row],[Verkehrsmittel]]="Flug", IF(AND(Tabelle2[[#This Row],[Entfernung (km) einfach]]&gt;10000),Tabelle2[[#This Row],[Entfernung (km) gesamt]]), 0)*Tabelle2[[#This Row],[Anzahl Studierende ]]</f>
        <v>0</v>
      </c>
      <c r="T35" s="28">
        <f>IF(Tabelle2[[#This Row],[Verkehrsmittel]]="Motorrad",Tabelle2[[#This Row],[Entfernung (km) gesamt]],0)*Tabelle2[[#This Row],[Anzahl Studierende ]]</f>
        <v>0</v>
      </c>
      <c r="U35" s="28">
        <f>IF(Tabelle2[[#This Row],[Verkehrsmittel]]="Straßen-, S-, U-Bahn",Tabelle2[[#This Row],[Entfernung (km) gesamt]],0)*Tabelle2[[#This Row],[Anzahl Studierende ]]</f>
        <v>0</v>
      </c>
      <c r="V35" s="29">
        <f>IF(Tabelle2[[#This Row],[Verkehrsmittel]]="Fahrrad",Tabelle2[[#This Row],[Entfernung (km) gesamt]],0)*Tabelle2[[#This Row],[Anzahl Studierende ]]</f>
        <v>0</v>
      </c>
    </row>
    <row r="36" spans="2:22">
      <c r="B36" s="109"/>
      <c r="C36" s="110"/>
      <c r="D36" s="32"/>
      <c r="E36" s="32"/>
      <c r="F36" s="32"/>
      <c r="G36" s="32"/>
      <c r="H36" s="111">
        <f>Tabelle2[[#This Row],[Entfernung (km) einfach]]*2</f>
        <v>0</v>
      </c>
      <c r="I36" s="32"/>
      <c r="J36" s="32"/>
      <c r="K36" s="113">
        <f>IF(Tabelle2[[#This Row],[Verkehrsmittel]]="Bus",Tabelle2[[#This Row],[Entfernung (km) gesamt]],0)*Tabelle2[[#This Row],[Anzahl Studierende ]]</f>
        <v>0</v>
      </c>
      <c r="L36" s="28">
        <f>IF(Tabelle2[[#This Row],[Verkehrsmittel]]="Bahn",Tabelle2[[#This Row],[Anzahl Studierende ]]*Tabelle2[[#This Row],[Entfernung (km) gesamt]],0)</f>
        <v>0</v>
      </c>
      <c r="M36" s="28">
        <f>IF(Tabelle2[[#This Row],[Verkehrsmittel]]="PKW",Tabelle2[[#This Row],[Anzahl Studierende ]]*Tabelle2[[#This Row],[Entfernung (km) gesamt]],0)</f>
        <v>0</v>
      </c>
      <c r="N36" s="28">
        <f>IF(Tabelle2[[#This Row],[Verkehrsmittel]]="Flug", IF(AND(Tabelle2[[#This Row],[Entfernung (km) einfach]]&lt;500),Tabelle2[[#This Row],[Entfernung (km) gesamt]]), 0)*Tabelle2[[#This Row],[Anzahl Studierende ]]</f>
        <v>0</v>
      </c>
      <c r="O36" s="28">
        <f>IF(Tabelle2[[#This Row],[Verkehrsmittel]]="Flug", IF(AND(Tabelle2[[#This Row],[Entfernung (km) einfach]]&gt;500,Tabelle2[[#This Row],[Entfernung (km) einfach]]&lt;1000),Tabelle2[[#This Row],[Entfernung (km) gesamt]], 0), 0)*Tabelle2[[#This Row],[Anzahl Studierende ]]</f>
        <v>0</v>
      </c>
      <c r="P36" s="28">
        <f>IF(Tabelle2[[#This Row],[Verkehrsmittel]]="Flug", IF(AND(Tabelle2[[#This Row],[Entfernung (km) einfach]]&gt;1000,Tabelle2[[#This Row],[Entfernung (km) einfach]]&lt;2000),Tabelle2[[#This Row],[Entfernung (km) gesamt]], 0), 0)*Tabelle2[[#This Row],[Anzahl Studierende ]]</f>
        <v>0</v>
      </c>
      <c r="Q36" s="28">
        <f>IF(Tabelle2[[#This Row],[Verkehrsmittel]]="Flug", IF(AND(Tabelle2[[#This Row],[Entfernung (km) einfach]]&gt;2000,Tabelle2[[#This Row],[Entfernung (km) einfach]]&lt;5000),Tabelle2[[#This Row],[Entfernung (km) gesamt]], 0), 0)*Tabelle2[[#This Row],[Anzahl Studierende ]]</f>
        <v>0</v>
      </c>
      <c r="R36" s="28">
        <f>IF(Tabelle2[[#This Row],[Verkehrsmittel]]="Flug", IF(AND(Tabelle2[[#This Row],[Entfernung (km) einfach]]&gt;5000,Tabelle2[[#This Row],[Entfernung (km) einfach]]&lt;10000),Tabelle2[[#This Row],[Entfernung (km) gesamt]], 0), 0)*Tabelle2[[#This Row],[Anzahl Studierende ]]</f>
        <v>0</v>
      </c>
      <c r="S36" s="28">
        <f>IF(Tabelle2[[#This Row],[Verkehrsmittel]]="Flug", IF(AND(Tabelle2[[#This Row],[Entfernung (km) einfach]]&gt;10000),Tabelle2[[#This Row],[Entfernung (km) gesamt]]), 0)*Tabelle2[[#This Row],[Anzahl Studierende ]]</f>
        <v>0</v>
      </c>
      <c r="T36" s="28">
        <f>IF(Tabelle2[[#This Row],[Verkehrsmittel]]="Motorrad",Tabelle2[[#This Row],[Entfernung (km) gesamt]],0)*Tabelle2[[#This Row],[Anzahl Studierende ]]</f>
        <v>0</v>
      </c>
      <c r="U36" s="28">
        <f>IF(Tabelle2[[#This Row],[Verkehrsmittel]]="Straßen-, S-, U-Bahn",Tabelle2[[#This Row],[Entfernung (km) gesamt]],0)*Tabelle2[[#This Row],[Anzahl Studierende ]]</f>
        <v>0</v>
      </c>
      <c r="V36" s="29">
        <f>IF(Tabelle2[[#This Row],[Verkehrsmittel]]="Fahrrad",Tabelle2[[#This Row],[Entfernung (km) gesamt]],0)*Tabelle2[[#This Row],[Anzahl Studierende ]]</f>
        <v>0</v>
      </c>
    </row>
    <row r="37" spans="2:22">
      <c r="B37" s="109"/>
      <c r="C37" s="110"/>
      <c r="D37" s="32"/>
      <c r="E37" s="32"/>
      <c r="F37" s="32"/>
      <c r="G37" s="32"/>
      <c r="H37" s="111">
        <f>Tabelle2[[#This Row],[Entfernung (km) einfach]]*2</f>
        <v>0</v>
      </c>
      <c r="I37" s="32"/>
      <c r="J37" s="32"/>
      <c r="K37" s="113">
        <f>IF(Tabelle2[[#This Row],[Verkehrsmittel]]="Bus",Tabelle2[[#This Row],[Entfernung (km) gesamt]],0)*Tabelle2[[#This Row],[Anzahl Studierende ]]</f>
        <v>0</v>
      </c>
      <c r="L37" s="28">
        <f>IF(Tabelle2[[#This Row],[Verkehrsmittel]]="Bahn",Tabelle2[[#This Row],[Anzahl Studierende ]]*Tabelle2[[#This Row],[Entfernung (km) gesamt]],0)</f>
        <v>0</v>
      </c>
      <c r="M37" s="28">
        <f>IF(Tabelle2[[#This Row],[Verkehrsmittel]]="PKW",Tabelle2[[#This Row],[Anzahl Studierende ]]*Tabelle2[[#This Row],[Entfernung (km) gesamt]],0)</f>
        <v>0</v>
      </c>
      <c r="N37" s="28">
        <f>IF(Tabelle2[[#This Row],[Verkehrsmittel]]="Flug", IF(AND(Tabelle2[[#This Row],[Entfernung (km) einfach]]&lt;500),Tabelle2[[#This Row],[Entfernung (km) gesamt]]), 0)*Tabelle2[[#This Row],[Anzahl Studierende ]]</f>
        <v>0</v>
      </c>
      <c r="O37" s="28">
        <f>IF(Tabelle2[[#This Row],[Verkehrsmittel]]="Flug", IF(AND(Tabelle2[[#This Row],[Entfernung (km) einfach]]&gt;500,Tabelle2[[#This Row],[Entfernung (km) einfach]]&lt;1000),Tabelle2[[#This Row],[Entfernung (km) gesamt]], 0), 0)*Tabelle2[[#This Row],[Anzahl Studierende ]]</f>
        <v>0</v>
      </c>
      <c r="P37" s="28">
        <f>IF(Tabelle2[[#This Row],[Verkehrsmittel]]="Flug", IF(AND(Tabelle2[[#This Row],[Entfernung (km) einfach]]&gt;1000,Tabelle2[[#This Row],[Entfernung (km) einfach]]&lt;2000),Tabelle2[[#This Row],[Entfernung (km) gesamt]], 0), 0)*Tabelle2[[#This Row],[Anzahl Studierende ]]</f>
        <v>0</v>
      </c>
      <c r="Q37" s="28">
        <f>IF(Tabelle2[[#This Row],[Verkehrsmittel]]="Flug", IF(AND(Tabelle2[[#This Row],[Entfernung (km) einfach]]&gt;2000,Tabelle2[[#This Row],[Entfernung (km) einfach]]&lt;5000),Tabelle2[[#This Row],[Entfernung (km) gesamt]], 0), 0)*Tabelle2[[#This Row],[Anzahl Studierende ]]</f>
        <v>0</v>
      </c>
      <c r="R37" s="28">
        <f>IF(Tabelle2[[#This Row],[Verkehrsmittel]]="Flug", IF(AND(Tabelle2[[#This Row],[Entfernung (km) einfach]]&gt;5000,Tabelle2[[#This Row],[Entfernung (km) einfach]]&lt;10000),Tabelle2[[#This Row],[Entfernung (km) gesamt]], 0), 0)*Tabelle2[[#This Row],[Anzahl Studierende ]]</f>
        <v>0</v>
      </c>
      <c r="S37" s="28">
        <f>IF(Tabelle2[[#This Row],[Verkehrsmittel]]="Flug", IF(AND(Tabelle2[[#This Row],[Entfernung (km) einfach]]&gt;10000),Tabelle2[[#This Row],[Entfernung (km) gesamt]]), 0)*Tabelle2[[#This Row],[Anzahl Studierende ]]</f>
        <v>0</v>
      </c>
      <c r="T37" s="28">
        <f>IF(Tabelle2[[#This Row],[Verkehrsmittel]]="Motorrad",Tabelle2[[#This Row],[Entfernung (km) gesamt]],0)*Tabelle2[[#This Row],[Anzahl Studierende ]]</f>
        <v>0</v>
      </c>
      <c r="U37" s="28">
        <f>IF(Tabelle2[[#This Row],[Verkehrsmittel]]="Straßen-, S-, U-Bahn",Tabelle2[[#This Row],[Entfernung (km) gesamt]],0)*Tabelle2[[#This Row],[Anzahl Studierende ]]</f>
        <v>0</v>
      </c>
      <c r="V37" s="29">
        <f>IF(Tabelle2[[#This Row],[Verkehrsmittel]]="Fahrrad",Tabelle2[[#This Row],[Entfernung (km) gesamt]],0)*Tabelle2[[#This Row],[Anzahl Studierende ]]</f>
        <v>0</v>
      </c>
    </row>
    <row r="38" spans="2:22">
      <c r="B38" s="109"/>
      <c r="C38" s="110"/>
      <c r="D38" s="114"/>
      <c r="E38" s="32"/>
      <c r="F38" s="32"/>
      <c r="G38" s="32"/>
      <c r="H38" s="111">
        <f>Tabelle2[[#This Row],[Entfernung (km) einfach]]*2</f>
        <v>0</v>
      </c>
      <c r="I38" s="32"/>
      <c r="J38" s="115"/>
      <c r="K38" s="113">
        <f>IF(Tabelle2[[#This Row],[Verkehrsmittel]]="Bus",Tabelle2[[#This Row],[Entfernung (km) gesamt]],0)*Tabelle2[[#This Row],[Anzahl Studierende ]]</f>
        <v>0</v>
      </c>
      <c r="L38" s="28">
        <f>IF(Tabelle2[[#This Row],[Verkehrsmittel]]="Bahn",Tabelle2[[#This Row],[Anzahl Studierende ]]*Tabelle2[[#This Row],[Entfernung (km) gesamt]],0)</f>
        <v>0</v>
      </c>
      <c r="M38" s="28">
        <f>IF(Tabelle2[[#This Row],[Verkehrsmittel]]="PKW",Tabelle2[[#This Row],[Anzahl Studierende ]]*Tabelle2[[#This Row],[Entfernung (km) gesamt]],0)</f>
        <v>0</v>
      </c>
      <c r="N38" s="28">
        <f>IF(Tabelle2[[#This Row],[Verkehrsmittel]]="Flug", IF(AND(Tabelle2[[#This Row],[Entfernung (km) einfach]]&lt;500),Tabelle2[[#This Row],[Entfernung (km) gesamt]]), 0)*Tabelle2[[#This Row],[Anzahl Studierende ]]</f>
        <v>0</v>
      </c>
      <c r="O38" s="28">
        <f>IF(Tabelle2[[#This Row],[Verkehrsmittel]]="Flug", IF(AND(Tabelle2[[#This Row],[Entfernung (km) einfach]]&gt;500,Tabelle2[[#This Row],[Entfernung (km) einfach]]&lt;1000),Tabelle2[[#This Row],[Entfernung (km) gesamt]], 0), 0)*Tabelle2[[#This Row],[Anzahl Studierende ]]</f>
        <v>0</v>
      </c>
      <c r="P38" s="28">
        <f>IF(Tabelle2[[#This Row],[Verkehrsmittel]]="Flug", IF(AND(Tabelle2[[#This Row],[Entfernung (km) einfach]]&gt;1000,Tabelle2[[#This Row],[Entfernung (km) einfach]]&lt;2000),Tabelle2[[#This Row],[Entfernung (km) gesamt]], 0), 0)*Tabelle2[[#This Row],[Anzahl Studierende ]]</f>
        <v>0</v>
      </c>
      <c r="Q38" s="28">
        <f>IF(Tabelle2[[#This Row],[Verkehrsmittel]]="Flug", IF(AND(Tabelle2[[#This Row],[Entfernung (km) einfach]]&gt;2000,Tabelle2[[#This Row],[Entfernung (km) einfach]]&lt;5000),Tabelle2[[#This Row],[Entfernung (km) gesamt]], 0), 0)*Tabelle2[[#This Row],[Anzahl Studierende ]]</f>
        <v>0</v>
      </c>
      <c r="R38" s="28">
        <f>IF(Tabelle2[[#This Row],[Verkehrsmittel]]="Flug", IF(AND(Tabelle2[[#This Row],[Entfernung (km) einfach]]&gt;5000,Tabelle2[[#This Row],[Entfernung (km) einfach]]&lt;10000),Tabelle2[[#This Row],[Entfernung (km) gesamt]], 0), 0)*Tabelle2[[#This Row],[Anzahl Studierende ]]</f>
        <v>0</v>
      </c>
      <c r="S38" s="28">
        <f>IF(Tabelle2[[#This Row],[Verkehrsmittel]]="Flug", IF(AND(Tabelle2[[#This Row],[Entfernung (km) einfach]]&gt;10000),Tabelle2[[#This Row],[Entfernung (km) gesamt]]), 0)*Tabelle2[[#This Row],[Anzahl Studierende ]]</f>
        <v>0</v>
      </c>
      <c r="T38" s="28">
        <f>IF(Tabelle2[[#This Row],[Verkehrsmittel]]="Motorrad",Tabelle2[[#This Row],[Entfernung (km) gesamt]],0)*Tabelle2[[#This Row],[Anzahl Studierende ]]</f>
        <v>0</v>
      </c>
      <c r="U38" s="28">
        <f>IF(Tabelle2[[#This Row],[Verkehrsmittel]]="Straßen-, S-, U-Bahn",Tabelle2[[#This Row],[Entfernung (km) gesamt]],0)*Tabelle2[[#This Row],[Anzahl Studierende ]]</f>
        <v>0</v>
      </c>
      <c r="V38" s="29">
        <f>IF(Tabelle2[[#This Row],[Verkehrsmittel]]="Fahrrad",Tabelle2[[#This Row],[Entfernung (km) gesamt]],0)*Tabelle2[[#This Row],[Anzahl Studierende ]]</f>
        <v>0</v>
      </c>
    </row>
    <row r="39" spans="2:22" ht="14.4" thickBot="1">
      <c r="B39" s="118"/>
      <c r="C39" s="119"/>
      <c r="D39" s="120"/>
      <c r="E39" s="121"/>
      <c r="F39" s="121"/>
      <c r="G39" s="121"/>
      <c r="H39" s="122">
        <f>Tabelle2[[#This Row],[Entfernung (km) einfach]]*2</f>
        <v>0</v>
      </c>
      <c r="I39" s="121"/>
      <c r="J39" s="123"/>
      <c r="K39" s="124">
        <f>IF(Tabelle2[[#This Row],[Verkehrsmittel]]="Bus",Tabelle2[[#This Row],[Entfernung (km) gesamt]],0)*Tabelle2[[#This Row],[Anzahl Studierende ]]</f>
        <v>0</v>
      </c>
      <c r="L39" s="30">
        <f>IF(Tabelle2[[#This Row],[Verkehrsmittel]]="Bahn",Tabelle2[[#This Row],[Anzahl Studierende ]]*Tabelle2[[#This Row],[Entfernung (km) gesamt]],0)</f>
        <v>0</v>
      </c>
      <c r="M39" s="30">
        <f>IF(Tabelle2[[#This Row],[Verkehrsmittel]]="PKW",Tabelle2[[#This Row],[Anzahl Studierende ]]*Tabelle2[[#This Row],[Entfernung (km) gesamt]],0)</f>
        <v>0</v>
      </c>
      <c r="N39" s="30">
        <f>IF(Tabelle2[[#This Row],[Verkehrsmittel]]="Flug", IF(AND(Tabelle2[[#This Row],[Entfernung (km) einfach]]&lt;500),Tabelle2[[#This Row],[Entfernung (km) gesamt]]), 0)*Tabelle2[[#This Row],[Anzahl Studierende ]]</f>
        <v>0</v>
      </c>
      <c r="O39" s="30">
        <f>IF(Tabelle2[[#This Row],[Verkehrsmittel]]="Flug", IF(AND(Tabelle2[[#This Row],[Entfernung (km) einfach]]&gt;500,Tabelle2[[#This Row],[Entfernung (km) einfach]]&lt;1000),Tabelle2[[#This Row],[Entfernung (km) gesamt]], 0), 0)*Tabelle2[[#This Row],[Anzahl Studierende ]]</f>
        <v>0</v>
      </c>
      <c r="P39" s="30">
        <f>IF(Tabelle2[[#This Row],[Verkehrsmittel]]="Flug", IF(AND(Tabelle2[[#This Row],[Entfernung (km) einfach]]&gt;1000,Tabelle2[[#This Row],[Entfernung (km) einfach]]&lt;2000),Tabelle2[[#This Row],[Entfernung (km) gesamt]], 0), 0)*Tabelle2[[#This Row],[Anzahl Studierende ]]</f>
        <v>0</v>
      </c>
      <c r="Q39" s="30">
        <f>IF(Tabelle2[[#This Row],[Verkehrsmittel]]="Flug", IF(AND(Tabelle2[[#This Row],[Entfernung (km) einfach]]&gt;2000,Tabelle2[[#This Row],[Entfernung (km) einfach]]&lt;5000),Tabelle2[[#This Row],[Entfernung (km) gesamt]], 0), 0)*Tabelle2[[#This Row],[Anzahl Studierende ]]</f>
        <v>0</v>
      </c>
      <c r="R39" s="30">
        <f>IF(Tabelle2[[#This Row],[Verkehrsmittel]]="Flug", IF(AND(Tabelle2[[#This Row],[Entfernung (km) einfach]]&gt;5000,Tabelle2[[#This Row],[Entfernung (km) einfach]]&lt;10000),Tabelle2[[#This Row],[Entfernung (km) gesamt]], 0), 0)*Tabelle2[[#This Row],[Anzahl Studierende ]]</f>
        <v>0</v>
      </c>
      <c r="S39" s="30">
        <f>IF(Tabelle2[[#This Row],[Verkehrsmittel]]="Flug", IF(AND(Tabelle2[[#This Row],[Entfernung (km) einfach]]&gt;10000),Tabelle2[[#This Row],[Entfernung (km) gesamt]]), 0)*Tabelle2[[#This Row],[Anzahl Studierende ]]</f>
        <v>0</v>
      </c>
      <c r="T39" s="30">
        <f>IF(Tabelle2[[#This Row],[Verkehrsmittel]]="Motorrad",Tabelle2[[#This Row],[Entfernung (km) gesamt]],0)*Tabelle2[[#This Row],[Anzahl Studierende ]]</f>
        <v>0</v>
      </c>
      <c r="U39" s="30">
        <f>IF(Tabelle2[[#This Row],[Verkehrsmittel]]="Straßen-, S-, U-Bahn",Tabelle2[[#This Row],[Entfernung (km) gesamt]],0)*Tabelle2[[#This Row],[Anzahl Studierende ]]</f>
        <v>0</v>
      </c>
      <c r="V39" s="31">
        <f>IF(Tabelle2[[#This Row],[Verkehrsmittel]]="Fahrrad",Tabelle2[[#This Row],[Entfernung (km) gesamt]],0)*Tabelle2[[#This Row],[Anzahl Studierende ]]</f>
        <v>0</v>
      </c>
    </row>
    <row r="40" spans="2:22" ht="14.4" thickBot="1">
      <c r="B40" s="118"/>
      <c r="C40" s="119"/>
      <c r="D40" s="121"/>
      <c r="E40" s="121"/>
      <c r="F40" s="121"/>
      <c r="G40" s="121"/>
      <c r="H40" s="121"/>
      <c r="I40" s="121"/>
      <c r="J40" s="121"/>
      <c r="K40" s="124">
        <f>SUM(Tabelle2[Km Bus])</f>
        <v>0</v>
      </c>
      <c r="L40" s="5">
        <f>SUM(Tabelle2[Km Bahn])</f>
        <v>0</v>
      </c>
      <c r="M40" s="5">
        <f>SUM(Tabelle2[Km PKW])</f>
        <v>0</v>
      </c>
      <c r="N40" s="5">
        <f>SUM(Tabelle2[Flug bis 500])</f>
        <v>0</v>
      </c>
      <c r="O40" s="5">
        <f>SUM(Tabelle2[Flug 500 - 1000 km])</f>
        <v>0</v>
      </c>
      <c r="P40" s="5">
        <f>SUM(Tabelle2[Flug 1000 - 2000])</f>
        <v>0</v>
      </c>
      <c r="Q40" s="5">
        <f>SUM(Tabelle2[Flug 2000 - 5000])</f>
        <v>0</v>
      </c>
      <c r="R40" s="5">
        <f>SUM(Tabelle2[Flug 5000 - 10000])</f>
        <v>0</v>
      </c>
      <c r="S40" s="5">
        <f>SUM(Tabelle2[Flug über 10000])</f>
        <v>0</v>
      </c>
      <c r="T40" s="5">
        <f>SUM(Tabelle2[Motorrad])</f>
        <v>0</v>
      </c>
      <c r="U40" s="5">
        <f>SUM(Tabelle2[Straßen-, S-, U-Bahn])</f>
        <v>0</v>
      </c>
      <c r="V40" s="5">
        <f>SUM(Tabelle2[Fahrrad])</f>
        <v>0</v>
      </c>
    </row>
    <row r="41" spans="2:22">
      <c r="I41" s="3"/>
    </row>
  </sheetData>
  <sheetProtection algorithmName="SHA-512" hashValue="yxLHq9Vm9alX8WvLpm6ytFJPNKgZtIYWszwEU+sk9BjCS8ItiRvlwNDts5csiP6Zovp/s6qn62KENvD197kkmw==" saltValue="IZcuXW/D6ROErIIcAbqKzw==" spinCount="100000" sheet="1" objects="1" formatCells="0" formatColumns="0" formatRows="0" insertColumns="0" insertRows="0" insertHyperlinks="0" deleteColumns="0" deleteRows="0" sort="0" autoFilter="0" pivotTables="0"/>
  <mergeCells count="3">
    <mergeCell ref="B3:C3"/>
    <mergeCell ref="B5:C5"/>
    <mergeCell ref="F2:G5"/>
  </mergeCells>
  <phoneticPr fontId="3" type="noConversion"/>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Hilfstabelle!$A$1:$A$8</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1"/>
  <sheetViews>
    <sheetView showGridLines="0" workbookViewId="0">
      <selection activeCell="D13" sqref="D13"/>
    </sheetView>
  </sheetViews>
  <sheetFormatPr baseColWidth="10" defaultRowHeight="13.8"/>
  <cols>
    <col min="1" max="1" width="21.8984375" bestFit="1" customWidth="1"/>
    <col min="2" max="2" width="11.69921875" style="20" customWidth="1"/>
    <col min="3" max="4" width="11.19921875" style="20"/>
    <col min="5" max="5" width="20.8984375" style="20" bestFit="1" customWidth="1"/>
    <col min="6" max="6" width="30.69921875" style="20" bestFit="1" customWidth="1"/>
    <col min="7" max="8" width="24.3984375" style="20" bestFit="1" customWidth="1"/>
    <col min="9" max="9" width="25.3984375" style="20" customWidth="1"/>
    <col min="10" max="10" width="15.8984375" style="20" bestFit="1" customWidth="1"/>
    <col min="11" max="11" width="26.19921875" hidden="1" customWidth="1"/>
    <col min="12" max="14" width="11.19921875" hidden="1" customWidth="1"/>
    <col min="15" max="15" width="14" hidden="1" customWidth="1"/>
    <col min="16" max="16" width="19.09765625" hidden="1" customWidth="1"/>
    <col min="17" max="20" width="11.19921875" hidden="1" customWidth="1"/>
    <col min="21" max="23" width="0" hidden="1" customWidth="1"/>
  </cols>
  <sheetData>
    <row r="1" spans="1:22" ht="14.4" thickBot="1"/>
    <row r="2" spans="1:22" ht="14.4" thickBot="1">
      <c r="F2" s="94" t="s">
        <v>51</v>
      </c>
      <c r="G2" s="95"/>
    </row>
    <row r="3" spans="1:22" ht="14.4" thickBot="1">
      <c r="A3" s="1" t="s">
        <v>19</v>
      </c>
      <c r="B3" s="50" t="s">
        <v>42</v>
      </c>
      <c r="C3" s="51"/>
      <c r="F3" s="96"/>
      <c r="G3" s="97"/>
    </row>
    <row r="4" spans="1:22" ht="14.4" thickBot="1">
      <c r="F4" s="96"/>
      <c r="G4" s="97"/>
    </row>
    <row r="5" spans="1:22" ht="14.4" thickBot="1">
      <c r="A5" s="1" t="s">
        <v>37</v>
      </c>
      <c r="B5" s="50"/>
      <c r="C5" s="51"/>
      <c r="F5" s="99"/>
      <c r="G5" s="100"/>
    </row>
    <row r="6" spans="1:22" ht="14.4" thickBot="1">
      <c r="A6" s="1"/>
      <c r="B6" s="32"/>
    </row>
    <row r="7" spans="1:22" ht="14.4" thickBot="1">
      <c r="A7" s="1"/>
      <c r="B7" s="101" t="s">
        <v>0</v>
      </c>
      <c r="C7" s="102" t="s">
        <v>1</v>
      </c>
      <c r="D7" s="102" t="s">
        <v>2</v>
      </c>
      <c r="E7" s="102" t="s">
        <v>39</v>
      </c>
      <c r="F7" s="102" t="s">
        <v>4</v>
      </c>
      <c r="G7" s="102" t="s">
        <v>16</v>
      </c>
      <c r="H7" s="102" t="s">
        <v>22</v>
      </c>
      <c r="I7" s="102" t="s">
        <v>5</v>
      </c>
      <c r="J7" s="103" t="s">
        <v>6</v>
      </c>
      <c r="K7" s="24" t="s">
        <v>13</v>
      </c>
      <c r="L7" s="24" t="s">
        <v>14</v>
      </c>
      <c r="M7" s="24" t="s">
        <v>15</v>
      </c>
      <c r="N7" s="24" t="s">
        <v>23</v>
      </c>
      <c r="O7" s="24" t="s">
        <v>24</v>
      </c>
      <c r="P7" s="24" t="s">
        <v>17</v>
      </c>
      <c r="Q7" s="24" t="s">
        <v>20</v>
      </c>
      <c r="R7" s="24" t="s">
        <v>18</v>
      </c>
      <c r="S7" s="24" t="s">
        <v>21</v>
      </c>
      <c r="T7" s="34" t="s">
        <v>33</v>
      </c>
      <c r="U7" s="34" t="s">
        <v>34</v>
      </c>
      <c r="V7" s="34" t="s">
        <v>10</v>
      </c>
    </row>
    <row r="8" spans="1:22" s="9" customFormat="1" ht="15.6">
      <c r="A8"/>
      <c r="B8" s="104"/>
      <c r="C8" s="105"/>
      <c r="D8" s="106"/>
      <c r="E8" s="107"/>
      <c r="F8" s="107"/>
      <c r="G8" s="106"/>
      <c r="H8" s="106">
        <f>Tabelle24[[#This Row],[Entfernung (km) einfach]]*2</f>
        <v>0</v>
      </c>
      <c r="I8" s="106"/>
      <c r="J8" s="125"/>
      <c r="K8" s="39">
        <f>IF(Tabelle24[[#This Row],[Verkehrsmittel]]="Bus",Tabelle24[[#This Row],[Entfernung (km) gesamt]],0)*Tabelle24[[#This Row],[Anzahl Studierende ]]</f>
        <v>0</v>
      </c>
      <c r="L8" s="39">
        <f>IF(Tabelle24[[#This Row],[Verkehrsmittel]]="Bahn",Tabelle24[[#This Row],[Anzahl Studierende ]]*Tabelle24[[#This Row],[Entfernung (km) gesamt]],0)</f>
        <v>0</v>
      </c>
      <c r="M8" s="39">
        <f>IF(Tabelle24[[#This Row],[Verkehrsmittel]]="PKW",Tabelle24[[#This Row],[Anzahl Studierende ]]*Tabelle24[[#This Row],[Entfernung (km) gesamt]],0)</f>
        <v>0</v>
      </c>
      <c r="N8" s="39">
        <f>IF(Tabelle24[[#This Row],[Verkehrsmittel]]="Flug", IF(AND(Tabelle24[[#This Row],[Entfernung (km) einfach]]&lt;500),Tabelle24[[#This Row],[Entfernung (km) gesamt]]), 0)*Tabelle24[[#This Row],[Anzahl Studierende ]]</f>
        <v>0</v>
      </c>
      <c r="O8" s="39">
        <f>IF(Tabelle24[[#This Row],[Verkehrsmittel]]="Flug", IF(AND(Tabelle24[[#This Row],[Entfernung (km) einfach]]&gt;500,Tabelle24[[#This Row],[Entfernung (km) einfach]]&lt;1000),Tabelle24[[#This Row],[Entfernung (km) gesamt]], 0), 0)*Tabelle24[[#This Row],[Anzahl Studierende ]]</f>
        <v>0</v>
      </c>
      <c r="P8" s="39">
        <f>IF(Tabelle24[[#This Row],[Verkehrsmittel]]="Flug", IF(AND(Tabelle24[[#This Row],[Entfernung (km) einfach]]&gt;1000,Tabelle24[[#This Row],[Entfernung (km) einfach]]&lt;2000),Tabelle24[[#This Row],[Entfernung (km) gesamt]], 0), 0)*Tabelle24[[#This Row],[Anzahl Studierende ]]</f>
        <v>0</v>
      </c>
      <c r="Q8" s="39">
        <f>IF(Tabelle24[[#This Row],[Verkehrsmittel]]="Flug", IF(AND(Tabelle24[[#This Row],[Entfernung (km) einfach]]&gt;2000,Tabelle24[[#This Row],[Entfernung (km) einfach]]&lt;5000),Tabelle24[[#This Row],[Entfernung (km) gesamt]], 0), 0)*Tabelle24[[#This Row],[Anzahl Studierende ]]</f>
        <v>0</v>
      </c>
      <c r="R8" s="39">
        <f>IF(Tabelle24[[#This Row],[Verkehrsmittel]]="Flug", IF(AND(Tabelle24[[#This Row],[Entfernung (km) einfach]]&gt;5000,Tabelle24[[#This Row],[Entfernung (km) einfach]]&lt;10000),Tabelle24[[#This Row],[Entfernung (km) gesamt]], 0), 0)*Tabelle24[[#This Row],[Anzahl Studierende ]]</f>
        <v>0</v>
      </c>
      <c r="S8" s="39">
        <f>IF(Tabelle24[[#This Row],[Verkehrsmittel]]="Flug", IF(AND(Tabelle24[[#This Row],[Entfernung (km) einfach]]&gt;10000),Tabelle24[[#This Row],[Entfernung (km) gesamt]]), 0)*Tabelle24[[#This Row],[Anzahl Studierende ]]</f>
        <v>0</v>
      </c>
      <c r="T8" s="34">
        <f>IF(Tabelle24[[#This Row],[Verkehrsmittel]]="Motorrad",Tabelle24[[#This Row],[Entfernung (km) gesamt]],0)*Tabelle24[[#This Row],[Anzahl Studierende ]]</f>
        <v>0</v>
      </c>
      <c r="U8" s="34">
        <f>IF(Tabelle24[[#This Row],[Verkehrsmittel]]="Straßen-, S-, U-Bahn",Tabelle24[[#This Row],[Entfernung (km) gesamt]],0)*Tabelle24[[#This Row],[Anzahl Studierende ]]</f>
        <v>0</v>
      </c>
      <c r="V8" s="34">
        <f>IF(Tabelle24[[#This Row],[Verkehrsmittel]]="Fahrrad",Tabelle24[[#This Row],[Entfernung (km) gesamt]],0)*Tabelle24[[#This Row],[Anzahl Studierende ]]</f>
        <v>0</v>
      </c>
    </row>
    <row r="9" spans="1:22" s="9" customFormat="1">
      <c r="A9"/>
      <c r="B9" s="126"/>
      <c r="C9" s="127"/>
      <c r="D9" s="128"/>
      <c r="E9" s="128"/>
      <c r="F9" s="128"/>
      <c r="G9" s="128"/>
      <c r="H9" s="128">
        <f>Tabelle24[[#This Row],[Entfernung (km) einfach]]*2</f>
        <v>0</v>
      </c>
      <c r="I9" s="128"/>
      <c r="J9" s="129"/>
      <c r="K9" s="34">
        <f>IF(Tabelle24[[#This Row],[Verkehrsmittel]]="Bus",Tabelle24[[#This Row],[Entfernung (km) gesamt]],0)*Tabelle24[[#This Row],[Anzahl Studierende ]]</f>
        <v>0</v>
      </c>
      <c r="L9" s="34">
        <f>IF(Tabelle24[[#This Row],[Verkehrsmittel]]="Bahn",Tabelle24[[#This Row],[Anzahl Studierende ]]*Tabelle24[[#This Row],[Entfernung (km) gesamt]],0)</f>
        <v>0</v>
      </c>
      <c r="M9" s="34">
        <f>IF(Tabelle24[[#This Row],[Verkehrsmittel]]="PKW",Tabelle24[[#This Row],[Anzahl Studierende ]]*Tabelle24[[#This Row],[Entfernung (km) gesamt]],0)</f>
        <v>0</v>
      </c>
      <c r="N9" s="34">
        <f>IF(Tabelle24[[#This Row],[Verkehrsmittel]]="Flug", IF(AND(Tabelle24[[#This Row],[Entfernung (km) einfach]]&lt;500),Tabelle24[[#This Row],[Entfernung (km) gesamt]]), 0)*Tabelle24[[#This Row],[Anzahl Studierende ]]</f>
        <v>0</v>
      </c>
      <c r="O9" s="34">
        <f>IF(Tabelle24[[#This Row],[Verkehrsmittel]]="Flug", IF(AND(Tabelle24[[#This Row],[Entfernung (km) einfach]]&gt;500,Tabelle24[[#This Row],[Entfernung (km) einfach]]&lt;1000),Tabelle24[[#This Row],[Entfernung (km) gesamt]], 0), 0)*Tabelle24[[#This Row],[Anzahl Studierende ]]</f>
        <v>0</v>
      </c>
      <c r="P9" s="34">
        <f>IF(Tabelle24[[#This Row],[Verkehrsmittel]]="Flug", IF(AND(Tabelle24[[#This Row],[Entfernung (km) einfach]]&gt;1000,Tabelle24[[#This Row],[Entfernung (km) einfach]]&lt;2000),Tabelle24[[#This Row],[Entfernung (km) gesamt]], 0), 0)*Tabelle24[[#This Row],[Anzahl Studierende ]]</f>
        <v>0</v>
      </c>
      <c r="Q9" s="34">
        <f>IF(Tabelle24[[#This Row],[Verkehrsmittel]]="Flug", IF(AND(Tabelle24[[#This Row],[Entfernung (km) einfach]]&gt;2000,Tabelle24[[#This Row],[Entfernung (km) einfach]]&lt;5000),Tabelle24[[#This Row],[Entfernung (km) gesamt]], 0), 0)*Tabelle24[[#This Row],[Anzahl Studierende ]]</f>
        <v>0</v>
      </c>
      <c r="R9" s="34">
        <f>IF(Tabelle24[[#This Row],[Verkehrsmittel]]="Flug", IF(AND(Tabelle24[[#This Row],[Entfernung (km) einfach]]&gt;5000,Tabelle24[[#This Row],[Entfernung (km) einfach]]&lt;10000),Tabelle24[[#This Row],[Entfernung (km) gesamt]], 0), 0)*Tabelle24[[#This Row],[Anzahl Studierende ]]</f>
        <v>0</v>
      </c>
      <c r="S9" s="34">
        <f>IF(Tabelle24[[#This Row],[Verkehrsmittel]]="Flug", IF(AND(Tabelle24[[#This Row],[Entfernung (km) einfach]]&gt;10000),Tabelle24[[#This Row],[Entfernung (km) gesamt]]), 0)*Tabelle24[[#This Row],[Anzahl Studierende ]]</f>
        <v>0</v>
      </c>
      <c r="T9" s="34">
        <f>IF(Tabelle24[[#This Row],[Verkehrsmittel]]="Motorrad",Tabelle24[[#This Row],[Entfernung (km) gesamt]],0)*Tabelle24[[#This Row],[Anzahl Studierende ]]</f>
        <v>0</v>
      </c>
      <c r="U9" s="34">
        <f>IF(Tabelle24[[#This Row],[Verkehrsmittel]]="Straßen-, S-, U-Bahn",Tabelle24[[#This Row],[Entfernung (km) gesamt]],0)*Tabelle24[[#This Row],[Anzahl Studierende ]]</f>
        <v>0</v>
      </c>
      <c r="V9" s="34">
        <f>IF(Tabelle24[[#This Row],[Verkehrsmittel]]="Fahrrad",Tabelle24[[#This Row],[Entfernung (km) gesamt]],0)*Tabelle24[[#This Row],[Anzahl Studierende ]]</f>
        <v>0</v>
      </c>
    </row>
    <row r="10" spans="1:22" s="9" customFormat="1">
      <c r="A10"/>
      <c r="B10" s="126"/>
      <c r="C10" s="127"/>
      <c r="D10" s="128"/>
      <c r="E10" s="128"/>
      <c r="F10" s="128"/>
      <c r="G10" s="128"/>
      <c r="H10" s="128">
        <f>Tabelle24[[#This Row],[Entfernung (km) einfach]]*2</f>
        <v>0</v>
      </c>
      <c r="I10" s="128"/>
      <c r="J10" s="129"/>
      <c r="K10" s="34">
        <f>IF(Tabelle24[[#This Row],[Verkehrsmittel]]="Bus",Tabelle24[[#This Row],[Entfernung (km) gesamt]],0)*Tabelle24[[#This Row],[Anzahl Studierende ]]</f>
        <v>0</v>
      </c>
      <c r="L10" s="34">
        <f>IF(Tabelle24[[#This Row],[Verkehrsmittel]]="Bahn",Tabelle24[[#This Row],[Anzahl Studierende ]]*Tabelle24[[#This Row],[Entfernung (km) gesamt]],0)</f>
        <v>0</v>
      </c>
      <c r="M10" s="34">
        <f>IF(Tabelle24[[#This Row],[Verkehrsmittel]]="PKW",Tabelle24[[#This Row],[Anzahl Studierende ]]*Tabelle24[[#This Row],[Entfernung (km) gesamt]],0)</f>
        <v>0</v>
      </c>
      <c r="N10" s="34">
        <f>IF(Tabelle24[[#This Row],[Verkehrsmittel]]="Flug", IF(AND(Tabelle24[[#This Row],[Entfernung (km) einfach]]&lt;500),Tabelle24[[#This Row],[Entfernung (km) gesamt]]), 0)*Tabelle24[[#This Row],[Anzahl Studierende ]]</f>
        <v>0</v>
      </c>
      <c r="O10" s="34">
        <f>IF(Tabelle24[[#This Row],[Verkehrsmittel]]="Flug", IF(AND(Tabelle24[[#This Row],[Entfernung (km) einfach]]&gt;500,Tabelle24[[#This Row],[Entfernung (km) einfach]]&lt;1000),Tabelle24[[#This Row],[Entfernung (km) gesamt]], 0), 0)*Tabelle24[[#This Row],[Anzahl Studierende ]]</f>
        <v>0</v>
      </c>
      <c r="P10" s="34">
        <f>IF(Tabelle24[[#This Row],[Verkehrsmittel]]="Flug", IF(AND(Tabelle24[[#This Row],[Entfernung (km) einfach]]&gt;1000,Tabelle24[[#This Row],[Entfernung (km) einfach]]&lt;2000),Tabelle24[[#This Row],[Entfernung (km) gesamt]], 0), 0)*Tabelle24[[#This Row],[Anzahl Studierende ]]</f>
        <v>0</v>
      </c>
      <c r="Q10" s="34">
        <f>IF(Tabelle24[[#This Row],[Verkehrsmittel]]="Flug", IF(AND(Tabelle24[[#This Row],[Entfernung (km) einfach]]&gt;2000,Tabelle24[[#This Row],[Entfernung (km) einfach]]&lt;5000),Tabelle24[[#This Row],[Entfernung (km) gesamt]], 0), 0)*Tabelle24[[#This Row],[Anzahl Studierende ]]</f>
        <v>0</v>
      </c>
      <c r="R10" s="34">
        <f>IF(Tabelle24[[#This Row],[Verkehrsmittel]]="Flug", IF(AND(Tabelle24[[#This Row],[Entfernung (km) einfach]]&gt;5000,Tabelle24[[#This Row],[Entfernung (km) einfach]]&lt;10000),Tabelle24[[#This Row],[Entfernung (km) gesamt]], 0), 0)*Tabelle24[[#This Row],[Anzahl Studierende ]]</f>
        <v>0</v>
      </c>
      <c r="S10" s="34">
        <f>IF(Tabelle24[[#This Row],[Verkehrsmittel]]="Flug", IF(AND(Tabelle24[[#This Row],[Entfernung (km) einfach]]&gt;10000),Tabelle24[[#This Row],[Entfernung (km) gesamt]]), 0)*Tabelle24[[#This Row],[Anzahl Studierende ]]</f>
        <v>0</v>
      </c>
      <c r="T10" s="34">
        <f>IF(Tabelle24[[#This Row],[Verkehrsmittel]]="Motorrad",Tabelle24[[#This Row],[Entfernung (km) gesamt]],0)*Tabelle24[[#This Row],[Anzahl Studierende ]]</f>
        <v>0</v>
      </c>
      <c r="U10" s="34">
        <f>IF(Tabelle24[[#This Row],[Verkehrsmittel]]="Straßen-, S-, U-Bahn",Tabelle24[[#This Row],[Entfernung (km) gesamt]],0)*Tabelle24[[#This Row],[Anzahl Studierende ]]</f>
        <v>0</v>
      </c>
      <c r="V10" s="34">
        <f>IF(Tabelle24[[#This Row],[Verkehrsmittel]]="Fahrrad",Tabelle24[[#This Row],[Entfernung (km) gesamt]],0)*Tabelle24[[#This Row],[Anzahl Studierende ]]</f>
        <v>0</v>
      </c>
    </row>
    <row r="11" spans="1:22" s="9" customFormat="1">
      <c r="A11"/>
      <c r="B11" s="126"/>
      <c r="C11" s="127"/>
      <c r="D11" s="128"/>
      <c r="E11" s="128"/>
      <c r="F11" s="128"/>
      <c r="G11" s="128"/>
      <c r="H11" s="128">
        <f>Tabelle24[[#This Row],[Entfernung (km) einfach]]*2</f>
        <v>0</v>
      </c>
      <c r="I11" s="128"/>
      <c r="J11" s="129"/>
      <c r="K11" s="34">
        <f>IF(Tabelle24[[#This Row],[Verkehrsmittel]]="Bus",Tabelle24[[#This Row],[Entfernung (km) gesamt]],0)*Tabelle24[[#This Row],[Anzahl Studierende ]]</f>
        <v>0</v>
      </c>
      <c r="L11" s="34">
        <f>IF(Tabelle24[[#This Row],[Verkehrsmittel]]="Bahn",Tabelle24[[#This Row],[Anzahl Studierende ]]*Tabelle24[[#This Row],[Entfernung (km) gesamt]],0)</f>
        <v>0</v>
      </c>
      <c r="M11" s="34">
        <f>IF(Tabelle24[[#This Row],[Verkehrsmittel]]="PKW",Tabelle24[[#This Row],[Anzahl Studierende ]]*Tabelle24[[#This Row],[Entfernung (km) gesamt]],0)</f>
        <v>0</v>
      </c>
      <c r="N11" s="34">
        <f>IF(Tabelle24[[#This Row],[Verkehrsmittel]]="Flug", IF(AND(Tabelle24[[#This Row],[Entfernung (km) einfach]]&lt;500),Tabelle24[[#This Row],[Entfernung (km) gesamt]]), 0)*Tabelle24[[#This Row],[Anzahl Studierende ]]</f>
        <v>0</v>
      </c>
      <c r="O11" s="34">
        <f>IF(Tabelle24[[#This Row],[Verkehrsmittel]]="Flug", IF(AND(Tabelle24[[#This Row],[Entfernung (km) einfach]]&gt;500,Tabelle24[[#This Row],[Entfernung (km) einfach]]&lt;1000),Tabelle24[[#This Row],[Entfernung (km) gesamt]], 0), 0)*Tabelle24[[#This Row],[Anzahl Studierende ]]</f>
        <v>0</v>
      </c>
      <c r="P11" s="34">
        <f>IF(Tabelle24[[#This Row],[Verkehrsmittel]]="Flug", IF(AND(Tabelle24[[#This Row],[Entfernung (km) einfach]]&gt;1000,Tabelle24[[#This Row],[Entfernung (km) einfach]]&lt;2000),Tabelle24[[#This Row],[Entfernung (km) gesamt]], 0), 0)*Tabelle24[[#This Row],[Anzahl Studierende ]]</f>
        <v>0</v>
      </c>
      <c r="Q11" s="34">
        <f>IF(Tabelle24[[#This Row],[Verkehrsmittel]]="Flug", IF(AND(Tabelle24[[#This Row],[Entfernung (km) einfach]]&gt;2000,Tabelle24[[#This Row],[Entfernung (km) einfach]]&lt;5000),Tabelle24[[#This Row],[Entfernung (km) gesamt]], 0), 0)*Tabelle24[[#This Row],[Anzahl Studierende ]]</f>
        <v>0</v>
      </c>
      <c r="R11" s="34">
        <f>IF(Tabelle24[[#This Row],[Verkehrsmittel]]="Flug", IF(AND(Tabelle24[[#This Row],[Entfernung (km) einfach]]&gt;5000,Tabelle24[[#This Row],[Entfernung (km) einfach]]&lt;10000),Tabelle24[[#This Row],[Entfernung (km) gesamt]], 0), 0)*Tabelle24[[#This Row],[Anzahl Studierende ]]</f>
        <v>0</v>
      </c>
      <c r="S11" s="34">
        <f>IF(Tabelle24[[#This Row],[Verkehrsmittel]]="Flug", IF(AND(Tabelle24[[#This Row],[Entfernung (km) einfach]]&gt;10000),Tabelle24[[#This Row],[Entfernung (km) gesamt]]), 0)*Tabelle24[[#This Row],[Anzahl Studierende ]]</f>
        <v>0</v>
      </c>
      <c r="T11" s="34">
        <f>IF(Tabelle24[[#This Row],[Verkehrsmittel]]="Motorrad",Tabelle24[[#This Row],[Entfernung (km) gesamt]],0)*Tabelle24[[#This Row],[Anzahl Studierende ]]</f>
        <v>0</v>
      </c>
      <c r="U11" s="34">
        <f>IF(Tabelle24[[#This Row],[Verkehrsmittel]]="Straßen-, S-, U-Bahn",Tabelle24[[#This Row],[Entfernung (km) gesamt]],0)*Tabelle24[[#This Row],[Anzahl Studierende ]]</f>
        <v>0</v>
      </c>
      <c r="V11" s="34">
        <f>IF(Tabelle24[[#This Row],[Verkehrsmittel]]="Fahrrad",Tabelle24[[#This Row],[Entfernung (km) gesamt]],0)*Tabelle24[[#This Row],[Anzahl Studierende ]]</f>
        <v>0</v>
      </c>
    </row>
    <row r="12" spans="1:22" s="9" customFormat="1">
      <c r="A12"/>
      <c r="B12" s="126"/>
      <c r="C12" s="127"/>
      <c r="D12" s="128"/>
      <c r="E12" s="128"/>
      <c r="F12" s="128"/>
      <c r="G12" s="128"/>
      <c r="H12" s="128">
        <f>Tabelle24[[#This Row],[Entfernung (km) einfach]]*2</f>
        <v>0</v>
      </c>
      <c r="I12" s="128"/>
      <c r="J12" s="129"/>
      <c r="K12" s="34">
        <f>IF(Tabelle24[[#This Row],[Verkehrsmittel]]="Bus",Tabelle24[[#This Row],[Entfernung (km) gesamt]],0)*Tabelle24[[#This Row],[Anzahl Studierende ]]</f>
        <v>0</v>
      </c>
      <c r="L12" s="34">
        <f>IF(Tabelle24[[#This Row],[Verkehrsmittel]]="Bahn",Tabelle24[[#This Row],[Anzahl Studierende ]]*Tabelle24[[#This Row],[Entfernung (km) gesamt]],0)</f>
        <v>0</v>
      </c>
      <c r="M12" s="34">
        <f>IF(Tabelle24[[#This Row],[Verkehrsmittel]]="PKW",Tabelle24[[#This Row],[Anzahl Studierende ]]*Tabelle24[[#This Row],[Entfernung (km) gesamt]],0)</f>
        <v>0</v>
      </c>
      <c r="N12" s="34">
        <f>IF(Tabelle24[[#This Row],[Verkehrsmittel]]="Flug", IF(AND(Tabelle24[[#This Row],[Entfernung (km) einfach]]&lt;500),Tabelle24[[#This Row],[Entfernung (km) gesamt]]), 0)*Tabelle24[[#This Row],[Anzahl Studierende ]]</f>
        <v>0</v>
      </c>
      <c r="O12" s="34">
        <f>IF(Tabelle24[[#This Row],[Verkehrsmittel]]="Flug", IF(AND(Tabelle24[[#This Row],[Entfernung (km) einfach]]&gt;500,Tabelle24[[#This Row],[Entfernung (km) einfach]]&lt;1000),Tabelle24[[#This Row],[Entfernung (km) gesamt]], 0), 0)*Tabelle24[[#This Row],[Anzahl Studierende ]]</f>
        <v>0</v>
      </c>
      <c r="P12" s="34">
        <f>IF(Tabelle24[[#This Row],[Verkehrsmittel]]="Flug", IF(AND(Tabelle24[[#This Row],[Entfernung (km) einfach]]&gt;1000,Tabelle24[[#This Row],[Entfernung (km) einfach]]&lt;2000),Tabelle24[[#This Row],[Entfernung (km) gesamt]], 0), 0)*Tabelle24[[#This Row],[Anzahl Studierende ]]</f>
        <v>0</v>
      </c>
      <c r="Q12" s="34">
        <f>IF(Tabelle24[[#This Row],[Verkehrsmittel]]="Flug", IF(AND(Tabelle24[[#This Row],[Entfernung (km) einfach]]&gt;2000,Tabelle24[[#This Row],[Entfernung (km) einfach]]&lt;5000),Tabelle24[[#This Row],[Entfernung (km) gesamt]], 0), 0)*Tabelle24[[#This Row],[Anzahl Studierende ]]</f>
        <v>0</v>
      </c>
      <c r="R12" s="34">
        <f>IF(Tabelle24[[#This Row],[Verkehrsmittel]]="Flug", IF(AND(Tabelle24[[#This Row],[Entfernung (km) einfach]]&gt;5000,Tabelle24[[#This Row],[Entfernung (km) einfach]]&lt;10000),Tabelle24[[#This Row],[Entfernung (km) gesamt]], 0), 0)*Tabelle24[[#This Row],[Anzahl Studierende ]]</f>
        <v>0</v>
      </c>
      <c r="S12" s="34">
        <f>IF(Tabelle24[[#This Row],[Verkehrsmittel]]="Flug", IF(AND(Tabelle24[[#This Row],[Entfernung (km) einfach]]&gt;10000),Tabelle24[[#This Row],[Entfernung (km) gesamt]]), 0)*Tabelle24[[#This Row],[Anzahl Studierende ]]</f>
        <v>0</v>
      </c>
      <c r="T12" s="34">
        <f>IF(Tabelle24[[#This Row],[Verkehrsmittel]]="Motorrad",Tabelle24[[#This Row],[Entfernung (km) gesamt]],0)*Tabelle24[[#This Row],[Anzahl Studierende ]]</f>
        <v>0</v>
      </c>
      <c r="U12" s="34">
        <f>IF(Tabelle24[[#This Row],[Verkehrsmittel]]="Straßen-, S-, U-Bahn",Tabelle24[[#This Row],[Entfernung (km) gesamt]],0)*Tabelle24[[#This Row],[Anzahl Studierende ]]</f>
        <v>0</v>
      </c>
      <c r="V12" s="34">
        <f>IF(Tabelle24[[#This Row],[Verkehrsmittel]]="Fahrrad",Tabelle24[[#This Row],[Entfernung (km) gesamt]],0)*Tabelle24[[#This Row],[Anzahl Studierende ]]</f>
        <v>0</v>
      </c>
    </row>
    <row r="13" spans="1:22" s="9" customFormat="1">
      <c r="A13"/>
      <c r="B13" s="126"/>
      <c r="C13" s="127"/>
      <c r="D13" s="128"/>
      <c r="E13" s="128"/>
      <c r="F13" s="128"/>
      <c r="G13" s="128"/>
      <c r="H13" s="128">
        <f>Tabelle24[[#This Row],[Entfernung (km) einfach]]*2</f>
        <v>0</v>
      </c>
      <c r="I13" s="128"/>
      <c r="J13" s="129"/>
      <c r="K13" s="34">
        <f>IF(Tabelle24[[#This Row],[Verkehrsmittel]]="Bus",Tabelle24[[#This Row],[Entfernung (km) gesamt]],0)*Tabelle24[[#This Row],[Anzahl Studierende ]]</f>
        <v>0</v>
      </c>
      <c r="L13" s="34">
        <f>IF(Tabelle24[[#This Row],[Verkehrsmittel]]="Bahn",Tabelle24[[#This Row],[Anzahl Studierende ]]*Tabelle24[[#This Row],[Entfernung (km) gesamt]],0)</f>
        <v>0</v>
      </c>
      <c r="M13" s="34">
        <f>IF(Tabelle24[[#This Row],[Verkehrsmittel]]="PKW",Tabelle24[[#This Row],[Anzahl Studierende ]]*Tabelle24[[#This Row],[Entfernung (km) gesamt]],0)</f>
        <v>0</v>
      </c>
      <c r="N13" s="34">
        <f>IF(Tabelle24[[#This Row],[Verkehrsmittel]]="Flug", IF(AND(Tabelle24[[#This Row],[Entfernung (km) einfach]]&lt;500),Tabelle24[[#This Row],[Entfernung (km) gesamt]]), 0)*Tabelle24[[#This Row],[Anzahl Studierende ]]</f>
        <v>0</v>
      </c>
      <c r="O13" s="34">
        <f>IF(Tabelle24[[#This Row],[Verkehrsmittel]]="Flug", IF(AND(Tabelle24[[#This Row],[Entfernung (km) einfach]]&gt;500,Tabelle24[[#This Row],[Entfernung (km) einfach]]&lt;1000),Tabelle24[[#This Row],[Entfernung (km) gesamt]], 0), 0)*Tabelle24[[#This Row],[Anzahl Studierende ]]</f>
        <v>0</v>
      </c>
      <c r="P13" s="34">
        <f>IF(Tabelle24[[#This Row],[Verkehrsmittel]]="Flug", IF(AND(Tabelle24[[#This Row],[Entfernung (km) einfach]]&gt;1000,Tabelle24[[#This Row],[Entfernung (km) einfach]]&lt;2000),Tabelle24[[#This Row],[Entfernung (km) gesamt]], 0), 0)*Tabelle24[[#This Row],[Anzahl Studierende ]]</f>
        <v>0</v>
      </c>
      <c r="Q13" s="34">
        <f>IF(Tabelle24[[#This Row],[Verkehrsmittel]]="Flug", IF(AND(Tabelle24[[#This Row],[Entfernung (km) einfach]]&gt;2000,Tabelle24[[#This Row],[Entfernung (km) einfach]]&lt;5000),Tabelle24[[#This Row],[Entfernung (km) gesamt]], 0), 0)*Tabelle24[[#This Row],[Anzahl Studierende ]]</f>
        <v>0</v>
      </c>
      <c r="R13" s="34">
        <f>IF(Tabelle24[[#This Row],[Verkehrsmittel]]="Flug", IF(AND(Tabelle24[[#This Row],[Entfernung (km) einfach]]&gt;5000,Tabelle24[[#This Row],[Entfernung (km) einfach]]&lt;10000),Tabelle24[[#This Row],[Entfernung (km) gesamt]], 0), 0)*Tabelle24[[#This Row],[Anzahl Studierende ]]</f>
        <v>0</v>
      </c>
      <c r="S13" s="34">
        <f>IF(Tabelle24[[#This Row],[Verkehrsmittel]]="Flug", IF(AND(Tabelle24[[#This Row],[Entfernung (km) einfach]]&gt;10000),Tabelle24[[#This Row],[Entfernung (km) gesamt]]), 0)*Tabelle24[[#This Row],[Anzahl Studierende ]]</f>
        <v>0</v>
      </c>
      <c r="T13" s="34">
        <f>IF(Tabelle24[[#This Row],[Verkehrsmittel]]="Motorrad",Tabelle24[[#This Row],[Entfernung (km) gesamt]],0)*Tabelle24[[#This Row],[Anzahl Studierende ]]</f>
        <v>0</v>
      </c>
      <c r="U13" s="34">
        <f>IF(Tabelle24[[#This Row],[Verkehrsmittel]]="Straßen-, S-, U-Bahn",Tabelle24[[#This Row],[Entfernung (km) gesamt]],0)*Tabelle24[[#This Row],[Anzahl Studierende ]]</f>
        <v>0</v>
      </c>
      <c r="V13" s="34">
        <f>IF(Tabelle24[[#This Row],[Verkehrsmittel]]="Fahrrad",Tabelle24[[#This Row],[Entfernung (km) gesamt]],0)*Tabelle24[[#This Row],[Anzahl Studierende ]]</f>
        <v>0</v>
      </c>
    </row>
    <row r="14" spans="1:22" s="9" customFormat="1">
      <c r="A14"/>
      <c r="B14" s="126"/>
      <c r="C14" s="127"/>
      <c r="D14" s="128"/>
      <c r="E14" s="128"/>
      <c r="F14" s="128"/>
      <c r="G14" s="128"/>
      <c r="H14" s="128">
        <f>Tabelle24[[#This Row],[Entfernung (km) einfach]]*2</f>
        <v>0</v>
      </c>
      <c r="I14" s="128"/>
      <c r="J14" s="129"/>
      <c r="K14" s="34">
        <f>IF(Tabelle24[[#This Row],[Verkehrsmittel]]="Bus",Tabelle24[[#This Row],[Entfernung (km) gesamt]],0)*Tabelle24[[#This Row],[Anzahl Studierende ]]</f>
        <v>0</v>
      </c>
      <c r="L14" s="34">
        <f>IF(Tabelle24[[#This Row],[Verkehrsmittel]]="Bahn",Tabelle24[[#This Row],[Anzahl Studierende ]]*Tabelle24[[#This Row],[Entfernung (km) gesamt]],0)</f>
        <v>0</v>
      </c>
      <c r="M14" s="34">
        <f>IF(Tabelle24[[#This Row],[Verkehrsmittel]]="PKW",Tabelle24[[#This Row],[Anzahl Studierende ]]*Tabelle24[[#This Row],[Entfernung (km) gesamt]],0)</f>
        <v>0</v>
      </c>
      <c r="N14" s="34">
        <f>IF(Tabelle24[[#This Row],[Verkehrsmittel]]="Flug", IF(AND(Tabelle24[[#This Row],[Entfernung (km) einfach]]&lt;500),Tabelle24[[#This Row],[Entfernung (km) gesamt]]), 0)*Tabelle24[[#This Row],[Anzahl Studierende ]]</f>
        <v>0</v>
      </c>
      <c r="O14" s="34">
        <f>IF(Tabelle24[[#This Row],[Verkehrsmittel]]="Flug", IF(AND(Tabelle24[[#This Row],[Entfernung (km) einfach]]&gt;500,Tabelle24[[#This Row],[Entfernung (km) einfach]]&lt;1000),Tabelle24[[#This Row],[Entfernung (km) gesamt]], 0), 0)*Tabelle24[[#This Row],[Anzahl Studierende ]]</f>
        <v>0</v>
      </c>
      <c r="P14" s="34">
        <f>IF(Tabelle24[[#This Row],[Verkehrsmittel]]="Flug", IF(AND(Tabelle24[[#This Row],[Entfernung (km) einfach]]&gt;1000,Tabelle24[[#This Row],[Entfernung (km) einfach]]&lt;2000),Tabelle24[[#This Row],[Entfernung (km) gesamt]], 0), 0)*Tabelle24[[#This Row],[Anzahl Studierende ]]</f>
        <v>0</v>
      </c>
      <c r="Q14" s="34">
        <f>IF(Tabelle24[[#This Row],[Verkehrsmittel]]="Flug", IF(AND(Tabelle24[[#This Row],[Entfernung (km) einfach]]&gt;2000,Tabelle24[[#This Row],[Entfernung (km) einfach]]&lt;5000),Tabelle24[[#This Row],[Entfernung (km) gesamt]], 0), 0)*Tabelle24[[#This Row],[Anzahl Studierende ]]</f>
        <v>0</v>
      </c>
      <c r="R14" s="34">
        <f>IF(Tabelle24[[#This Row],[Verkehrsmittel]]="Flug", IF(AND(Tabelle24[[#This Row],[Entfernung (km) einfach]]&gt;5000,Tabelle24[[#This Row],[Entfernung (km) einfach]]&lt;10000),Tabelle24[[#This Row],[Entfernung (km) gesamt]], 0), 0)*Tabelle24[[#This Row],[Anzahl Studierende ]]</f>
        <v>0</v>
      </c>
      <c r="S14" s="34">
        <f>IF(Tabelle24[[#This Row],[Verkehrsmittel]]="Flug", IF(AND(Tabelle24[[#This Row],[Entfernung (km) einfach]]&gt;10000),Tabelle24[[#This Row],[Entfernung (km) gesamt]]), 0)*Tabelle24[[#This Row],[Anzahl Studierende ]]</f>
        <v>0</v>
      </c>
      <c r="T14" s="34">
        <f>IF(Tabelle24[[#This Row],[Verkehrsmittel]]="Motorrad",Tabelle24[[#This Row],[Entfernung (km) gesamt]],0)*Tabelle24[[#This Row],[Anzahl Studierende ]]</f>
        <v>0</v>
      </c>
      <c r="U14" s="34">
        <f>IF(Tabelle24[[#This Row],[Verkehrsmittel]]="Straßen-, S-, U-Bahn",Tabelle24[[#This Row],[Entfernung (km) gesamt]],0)*Tabelle24[[#This Row],[Anzahl Studierende ]]</f>
        <v>0</v>
      </c>
      <c r="V14" s="34">
        <f>IF(Tabelle24[[#This Row],[Verkehrsmittel]]="Fahrrad",Tabelle24[[#This Row],[Entfernung (km) gesamt]],0)*Tabelle24[[#This Row],[Anzahl Studierende ]]</f>
        <v>0</v>
      </c>
    </row>
    <row r="15" spans="1:22" s="9" customFormat="1">
      <c r="A15"/>
      <c r="B15" s="126"/>
      <c r="C15" s="127"/>
      <c r="D15" s="128"/>
      <c r="E15" s="128"/>
      <c r="F15" s="128"/>
      <c r="G15" s="128"/>
      <c r="H15" s="128">
        <f>Tabelle24[[#This Row],[Entfernung (km) einfach]]*2</f>
        <v>0</v>
      </c>
      <c r="I15" s="128"/>
      <c r="J15" s="129"/>
      <c r="K15" s="34">
        <f>IF(Tabelle24[[#This Row],[Verkehrsmittel]]="Bus",Tabelle24[[#This Row],[Entfernung (km) gesamt]],0)*Tabelle24[[#This Row],[Anzahl Studierende ]]</f>
        <v>0</v>
      </c>
      <c r="L15" s="34">
        <f>IF(Tabelle24[[#This Row],[Verkehrsmittel]]="Bahn",Tabelle24[[#This Row],[Anzahl Studierende ]]*Tabelle24[[#This Row],[Entfernung (km) gesamt]],0)</f>
        <v>0</v>
      </c>
      <c r="M15" s="34">
        <f>IF(Tabelle24[[#This Row],[Verkehrsmittel]]="PKW",Tabelle24[[#This Row],[Anzahl Studierende ]]*Tabelle24[[#This Row],[Entfernung (km) gesamt]],0)</f>
        <v>0</v>
      </c>
      <c r="N15" s="34">
        <f>IF(Tabelle24[[#This Row],[Verkehrsmittel]]="Flug", IF(AND(Tabelle24[[#This Row],[Entfernung (km) einfach]]&lt;500),Tabelle24[[#This Row],[Entfernung (km) gesamt]]), 0)*Tabelle24[[#This Row],[Anzahl Studierende ]]</f>
        <v>0</v>
      </c>
      <c r="O15" s="34">
        <f>IF(Tabelle24[[#This Row],[Verkehrsmittel]]="Flug", IF(AND(Tabelle24[[#This Row],[Entfernung (km) einfach]]&gt;500,Tabelle24[[#This Row],[Entfernung (km) einfach]]&lt;1000),Tabelle24[[#This Row],[Entfernung (km) gesamt]], 0), 0)*Tabelle24[[#This Row],[Anzahl Studierende ]]</f>
        <v>0</v>
      </c>
      <c r="P15" s="34">
        <f>IF(Tabelle24[[#This Row],[Verkehrsmittel]]="Flug", IF(AND(Tabelle24[[#This Row],[Entfernung (km) einfach]]&gt;1000,Tabelle24[[#This Row],[Entfernung (km) einfach]]&lt;2000),Tabelle24[[#This Row],[Entfernung (km) gesamt]], 0), 0)*Tabelle24[[#This Row],[Anzahl Studierende ]]</f>
        <v>0</v>
      </c>
      <c r="Q15" s="34">
        <f>IF(Tabelle24[[#This Row],[Verkehrsmittel]]="Flug", IF(AND(Tabelle24[[#This Row],[Entfernung (km) einfach]]&gt;2000,Tabelle24[[#This Row],[Entfernung (km) einfach]]&lt;5000),Tabelle24[[#This Row],[Entfernung (km) gesamt]], 0), 0)*Tabelle24[[#This Row],[Anzahl Studierende ]]</f>
        <v>0</v>
      </c>
      <c r="R15" s="34">
        <f>IF(Tabelle24[[#This Row],[Verkehrsmittel]]="Flug", IF(AND(Tabelle24[[#This Row],[Entfernung (km) einfach]]&gt;5000,Tabelle24[[#This Row],[Entfernung (km) einfach]]&lt;10000),Tabelle24[[#This Row],[Entfernung (km) gesamt]], 0), 0)*Tabelle24[[#This Row],[Anzahl Studierende ]]</f>
        <v>0</v>
      </c>
      <c r="S15" s="34">
        <f>IF(Tabelle24[[#This Row],[Verkehrsmittel]]="Flug", IF(AND(Tabelle24[[#This Row],[Entfernung (km) einfach]]&gt;10000),Tabelle24[[#This Row],[Entfernung (km) gesamt]]), 0)*Tabelle24[[#This Row],[Anzahl Studierende ]]</f>
        <v>0</v>
      </c>
      <c r="T15" s="34">
        <f>IF(Tabelle24[[#This Row],[Verkehrsmittel]]="Motorrad",Tabelle24[[#This Row],[Entfernung (km) gesamt]],0)*Tabelle24[[#This Row],[Anzahl Studierende ]]</f>
        <v>0</v>
      </c>
      <c r="U15" s="34">
        <f>IF(Tabelle24[[#This Row],[Verkehrsmittel]]="Straßen-, S-, U-Bahn",Tabelle24[[#This Row],[Entfernung (km) gesamt]],0)*Tabelle24[[#This Row],[Anzahl Studierende ]]</f>
        <v>0</v>
      </c>
      <c r="V15" s="34">
        <f>IF(Tabelle24[[#This Row],[Verkehrsmittel]]="Fahrrad",Tabelle24[[#This Row],[Entfernung (km) gesamt]],0)*Tabelle24[[#This Row],[Anzahl Studierende ]]</f>
        <v>0</v>
      </c>
    </row>
    <row r="16" spans="1:22" s="9" customFormat="1">
      <c r="A16"/>
      <c r="B16" s="126"/>
      <c r="C16" s="127"/>
      <c r="D16" s="128"/>
      <c r="E16" s="128"/>
      <c r="F16" s="128"/>
      <c r="G16" s="128"/>
      <c r="H16" s="128">
        <f>Tabelle24[[#This Row],[Entfernung (km) einfach]]*2</f>
        <v>0</v>
      </c>
      <c r="I16" s="128"/>
      <c r="J16" s="129"/>
      <c r="K16" s="34">
        <f>IF(Tabelle24[[#This Row],[Verkehrsmittel]]="Bus",Tabelle24[[#This Row],[Entfernung (km) gesamt]],0)*Tabelle24[[#This Row],[Anzahl Studierende ]]</f>
        <v>0</v>
      </c>
      <c r="L16" s="34">
        <f>IF(Tabelle24[[#This Row],[Verkehrsmittel]]="Bahn",Tabelle24[[#This Row],[Anzahl Studierende ]]*Tabelle24[[#This Row],[Entfernung (km) gesamt]],0)</f>
        <v>0</v>
      </c>
      <c r="M16" s="34">
        <f>IF(Tabelle24[[#This Row],[Verkehrsmittel]]="PKW",Tabelle24[[#This Row],[Anzahl Studierende ]]*Tabelle24[[#This Row],[Entfernung (km) gesamt]],0)</f>
        <v>0</v>
      </c>
      <c r="N16" s="34">
        <f>IF(Tabelle24[[#This Row],[Verkehrsmittel]]="Flug", IF(AND(Tabelle24[[#This Row],[Entfernung (km) einfach]]&lt;500),Tabelle24[[#This Row],[Entfernung (km) gesamt]]), 0)*Tabelle24[[#This Row],[Anzahl Studierende ]]</f>
        <v>0</v>
      </c>
      <c r="O16" s="34">
        <f>IF(Tabelle24[[#This Row],[Verkehrsmittel]]="Flug", IF(AND(Tabelle24[[#This Row],[Entfernung (km) einfach]]&gt;500,Tabelle24[[#This Row],[Entfernung (km) einfach]]&lt;1000),Tabelle24[[#This Row],[Entfernung (km) gesamt]], 0), 0)*Tabelle24[[#This Row],[Anzahl Studierende ]]</f>
        <v>0</v>
      </c>
      <c r="P16" s="34">
        <f>IF(Tabelle24[[#This Row],[Verkehrsmittel]]="Flug", IF(AND(Tabelle24[[#This Row],[Entfernung (km) einfach]]&gt;1000,Tabelle24[[#This Row],[Entfernung (km) einfach]]&lt;2000),Tabelle24[[#This Row],[Entfernung (km) gesamt]], 0), 0)*Tabelle24[[#This Row],[Anzahl Studierende ]]</f>
        <v>0</v>
      </c>
      <c r="Q16" s="34">
        <f>IF(Tabelle24[[#This Row],[Verkehrsmittel]]="Flug", IF(AND(Tabelle24[[#This Row],[Entfernung (km) einfach]]&gt;2000,Tabelle24[[#This Row],[Entfernung (km) einfach]]&lt;5000),Tabelle24[[#This Row],[Entfernung (km) gesamt]], 0), 0)*Tabelle24[[#This Row],[Anzahl Studierende ]]</f>
        <v>0</v>
      </c>
      <c r="R16" s="34">
        <f>IF(Tabelle24[[#This Row],[Verkehrsmittel]]="Flug", IF(AND(Tabelle24[[#This Row],[Entfernung (km) einfach]]&gt;5000,Tabelle24[[#This Row],[Entfernung (km) einfach]]&lt;10000),Tabelle24[[#This Row],[Entfernung (km) gesamt]], 0), 0)*Tabelle24[[#This Row],[Anzahl Studierende ]]</f>
        <v>0</v>
      </c>
      <c r="S16" s="34">
        <f>IF(Tabelle24[[#This Row],[Verkehrsmittel]]="Flug", IF(AND(Tabelle24[[#This Row],[Entfernung (km) einfach]]&gt;10000),Tabelle24[[#This Row],[Entfernung (km) gesamt]]), 0)*Tabelle24[[#This Row],[Anzahl Studierende ]]</f>
        <v>0</v>
      </c>
      <c r="T16" s="34">
        <f>IF(Tabelle24[[#This Row],[Verkehrsmittel]]="Motorrad",Tabelle24[[#This Row],[Entfernung (km) gesamt]],0)*Tabelle24[[#This Row],[Anzahl Studierende ]]</f>
        <v>0</v>
      </c>
      <c r="U16" s="34">
        <f>IF(Tabelle24[[#This Row],[Verkehrsmittel]]="Straßen-, S-, U-Bahn",Tabelle24[[#This Row],[Entfernung (km) gesamt]],0)*Tabelle24[[#This Row],[Anzahl Studierende ]]</f>
        <v>0</v>
      </c>
      <c r="V16" s="34">
        <f>IF(Tabelle24[[#This Row],[Verkehrsmittel]]="Fahrrad",Tabelle24[[#This Row],[Entfernung (km) gesamt]],0)*Tabelle24[[#This Row],[Anzahl Studierende ]]</f>
        <v>0</v>
      </c>
    </row>
    <row r="17" spans="1:22" s="9" customFormat="1">
      <c r="A17"/>
      <c r="B17" s="126"/>
      <c r="C17" s="127"/>
      <c r="D17" s="128"/>
      <c r="E17" s="128"/>
      <c r="F17" s="128"/>
      <c r="G17" s="128"/>
      <c r="H17" s="128">
        <f>Tabelle24[[#This Row],[Entfernung (km) einfach]]*2</f>
        <v>0</v>
      </c>
      <c r="I17" s="128"/>
      <c r="J17" s="129"/>
      <c r="K17" s="34">
        <f>IF(Tabelle24[[#This Row],[Verkehrsmittel]]="Bus",Tabelle24[[#This Row],[Entfernung (km) gesamt]],0)*Tabelle24[[#This Row],[Anzahl Studierende ]]</f>
        <v>0</v>
      </c>
      <c r="L17" s="34">
        <f>IF(Tabelle24[[#This Row],[Verkehrsmittel]]="Bahn",Tabelle24[[#This Row],[Anzahl Studierende ]]*Tabelle24[[#This Row],[Entfernung (km) gesamt]],0)</f>
        <v>0</v>
      </c>
      <c r="M17" s="34">
        <f>IF(Tabelle24[[#This Row],[Verkehrsmittel]]="PKW",Tabelle24[[#This Row],[Anzahl Studierende ]]*Tabelle24[[#This Row],[Entfernung (km) gesamt]],0)</f>
        <v>0</v>
      </c>
      <c r="N17" s="34">
        <f>IF(Tabelle24[[#This Row],[Verkehrsmittel]]="Flug", IF(AND(Tabelle24[[#This Row],[Entfernung (km) einfach]]&lt;500),Tabelle24[[#This Row],[Entfernung (km) gesamt]]), 0)*Tabelle24[[#This Row],[Anzahl Studierende ]]</f>
        <v>0</v>
      </c>
      <c r="O17" s="34">
        <f>IF(Tabelle24[[#This Row],[Verkehrsmittel]]="Flug", IF(AND(Tabelle24[[#This Row],[Entfernung (km) einfach]]&gt;500,Tabelle24[[#This Row],[Entfernung (km) einfach]]&lt;1000),Tabelle24[[#This Row],[Entfernung (km) gesamt]], 0), 0)*Tabelle24[[#This Row],[Anzahl Studierende ]]</f>
        <v>0</v>
      </c>
      <c r="P17" s="34">
        <f>IF(Tabelle24[[#This Row],[Verkehrsmittel]]="Flug", IF(AND(Tabelle24[[#This Row],[Entfernung (km) einfach]]&gt;1000,Tabelle24[[#This Row],[Entfernung (km) einfach]]&lt;2000),Tabelle24[[#This Row],[Entfernung (km) gesamt]], 0), 0)*Tabelle24[[#This Row],[Anzahl Studierende ]]</f>
        <v>0</v>
      </c>
      <c r="Q17" s="34">
        <f>IF(Tabelle24[[#This Row],[Verkehrsmittel]]="Flug", IF(AND(Tabelle24[[#This Row],[Entfernung (km) einfach]]&gt;2000,Tabelle24[[#This Row],[Entfernung (km) einfach]]&lt;5000),Tabelle24[[#This Row],[Entfernung (km) gesamt]], 0), 0)*Tabelle24[[#This Row],[Anzahl Studierende ]]</f>
        <v>0</v>
      </c>
      <c r="R17" s="34">
        <f>IF(Tabelle24[[#This Row],[Verkehrsmittel]]="Flug", IF(AND(Tabelle24[[#This Row],[Entfernung (km) einfach]]&gt;5000,Tabelle24[[#This Row],[Entfernung (km) einfach]]&lt;10000),Tabelle24[[#This Row],[Entfernung (km) gesamt]], 0), 0)*Tabelle24[[#This Row],[Anzahl Studierende ]]</f>
        <v>0</v>
      </c>
      <c r="S17" s="34">
        <f>IF(Tabelle24[[#This Row],[Verkehrsmittel]]="Flug", IF(AND(Tabelle24[[#This Row],[Entfernung (km) einfach]]&gt;10000),Tabelle24[[#This Row],[Entfernung (km) gesamt]]), 0)*Tabelle24[[#This Row],[Anzahl Studierende ]]</f>
        <v>0</v>
      </c>
      <c r="T17" s="34">
        <f>IF(Tabelle24[[#This Row],[Verkehrsmittel]]="Motorrad",Tabelle24[[#This Row],[Entfernung (km) gesamt]],0)*Tabelle24[[#This Row],[Anzahl Studierende ]]</f>
        <v>0</v>
      </c>
      <c r="U17" s="34">
        <f>IF(Tabelle24[[#This Row],[Verkehrsmittel]]="Straßen-, S-, U-Bahn",Tabelle24[[#This Row],[Entfernung (km) gesamt]],0)*Tabelle24[[#This Row],[Anzahl Studierende ]]</f>
        <v>0</v>
      </c>
      <c r="V17" s="34">
        <f>IF(Tabelle24[[#This Row],[Verkehrsmittel]]="Fahrrad",Tabelle24[[#This Row],[Entfernung (km) gesamt]],0)*Tabelle24[[#This Row],[Anzahl Studierende ]]</f>
        <v>0</v>
      </c>
    </row>
    <row r="18" spans="1:22" s="9" customFormat="1">
      <c r="A18"/>
      <c r="B18" s="126"/>
      <c r="C18" s="127"/>
      <c r="D18" s="128"/>
      <c r="E18" s="128"/>
      <c r="F18" s="128"/>
      <c r="G18" s="128"/>
      <c r="H18" s="128">
        <f>Tabelle24[[#This Row],[Entfernung (km) einfach]]*2</f>
        <v>0</v>
      </c>
      <c r="I18" s="128"/>
      <c r="J18" s="129"/>
      <c r="K18" s="34">
        <f>IF(Tabelle24[[#This Row],[Verkehrsmittel]]="Bus",Tabelle24[[#This Row],[Entfernung (km) gesamt]],0)*Tabelle24[[#This Row],[Anzahl Studierende ]]</f>
        <v>0</v>
      </c>
      <c r="L18" s="34">
        <f>IF(Tabelle24[[#This Row],[Verkehrsmittel]]="Bahn",Tabelle24[[#This Row],[Anzahl Studierende ]]*Tabelle24[[#This Row],[Entfernung (km) gesamt]],0)</f>
        <v>0</v>
      </c>
      <c r="M18" s="34">
        <f>IF(Tabelle24[[#This Row],[Verkehrsmittel]]="PKW",Tabelle24[[#This Row],[Anzahl Studierende ]]*Tabelle24[[#This Row],[Entfernung (km) gesamt]],0)</f>
        <v>0</v>
      </c>
      <c r="N18" s="34">
        <f>IF(Tabelle24[[#This Row],[Verkehrsmittel]]="Flug", IF(AND(Tabelle24[[#This Row],[Entfernung (km) einfach]]&lt;500),Tabelle24[[#This Row],[Entfernung (km) gesamt]]), 0)*Tabelle24[[#This Row],[Anzahl Studierende ]]</f>
        <v>0</v>
      </c>
      <c r="O18" s="34">
        <f>IF(Tabelle24[[#This Row],[Verkehrsmittel]]="Flug", IF(AND(Tabelle24[[#This Row],[Entfernung (km) einfach]]&gt;500,Tabelle24[[#This Row],[Entfernung (km) einfach]]&lt;1000),Tabelle24[[#This Row],[Entfernung (km) gesamt]], 0), 0)*Tabelle24[[#This Row],[Anzahl Studierende ]]</f>
        <v>0</v>
      </c>
      <c r="P18" s="34">
        <f>IF(Tabelle24[[#This Row],[Verkehrsmittel]]="Flug", IF(AND(Tabelle24[[#This Row],[Entfernung (km) einfach]]&gt;1000,Tabelle24[[#This Row],[Entfernung (km) einfach]]&lt;2000),Tabelle24[[#This Row],[Entfernung (km) gesamt]], 0), 0)*Tabelle24[[#This Row],[Anzahl Studierende ]]</f>
        <v>0</v>
      </c>
      <c r="Q18" s="34">
        <f>IF(Tabelle24[[#This Row],[Verkehrsmittel]]="Flug", IF(AND(Tabelle24[[#This Row],[Entfernung (km) einfach]]&gt;2000,Tabelle24[[#This Row],[Entfernung (km) einfach]]&lt;5000),Tabelle24[[#This Row],[Entfernung (km) gesamt]], 0), 0)*Tabelle24[[#This Row],[Anzahl Studierende ]]</f>
        <v>0</v>
      </c>
      <c r="R18" s="34">
        <f>IF(Tabelle24[[#This Row],[Verkehrsmittel]]="Flug", IF(AND(Tabelle24[[#This Row],[Entfernung (km) einfach]]&gt;5000,Tabelle24[[#This Row],[Entfernung (km) einfach]]&lt;10000),Tabelle24[[#This Row],[Entfernung (km) gesamt]], 0), 0)*Tabelle24[[#This Row],[Anzahl Studierende ]]</f>
        <v>0</v>
      </c>
      <c r="S18" s="34">
        <f>IF(Tabelle24[[#This Row],[Verkehrsmittel]]="Flug", IF(AND(Tabelle24[[#This Row],[Entfernung (km) einfach]]&gt;10000),Tabelle24[[#This Row],[Entfernung (km) gesamt]]), 0)*Tabelle24[[#This Row],[Anzahl Studierende ]]</f>
        <v>0</v>
      </c>
      <c r="T18" s="34">
        <f>IF(Tabelle24[[#This Row],[Verkehrsmittel]]="Motorrad",Tabelle24[[#This Row],[Entfernung (km) gesamt]],0)*Tabelle24[[#This Row],[Anzahl Studierende ]]</f>
        <v>0</v>
      </c>
      <c r="U18" s="34">
        <f>IF(Tabelle24[[#This Row],[Verkehrsmittel]]="Straßen-, S-, U-Bahn",Tabelle24[[#This Row],[Entfernung (km) gesamt]],0)*Tabelle24[[#This Row],[Anzahl Studierende ]]</f>
        <v>0</v>
      </c>
      <c r="V18" s="34">
        <f>IF(Tabelle24[[#This Row],[Verkehrsmittel]]="Fahrrad",Tabelle24[[#This Row],[Entfernung (km) gesamt]],0)*Tabelle24[[#This Row],[Anzahl Studierende ]]</f>
        <v>0</v>
      </c>
    </row>
    <row r="19" spans="1:22" s="9" customFormat="1">
      <c r="A19"/>
      <c r="B19" s="126"/>
      <c r="C19" s="127"/>
      <c r="D19" s="128"/>
      <c r="E19" s="128"/>
      <c r="F19" s="128"/>
      <c r="G19" s="128"/>
      <c r="H19" s="130">
        <f>Tabelle24[[#This Row],[Entfernung (km) einfach]]*2</f>
        <v>0</v>
      </c>
      <c r="I19" s="128"/>
      <c r="J19" s="129"/>
      <c r="K19" s="40">
        <f>IF(Tabelle24[[#This Row],[Verkehrsmittel]]="Bus",Tabelle24[[#This Row],[Entfernung (km) gesamt]],0)*Tabelle24[[#This Row],[Anzahl Studierende ]]</f>
        <v>0</v>
      </c>
      <c r="L19" s="40">
        <f>IF(Tabelle24[[#This Row],[Verkehrsmittel]]="Bahn",Tabelle24[[#This Row],[Anzahl Studierende ]]*Tabelle24[[#This Row],[Entfernung (km) gesamt]],0)</f>
        <v>0</v>
      </c>
      <c r="M19" s="40">
        <f>IF(Tabelle24[[#This Row],[Verkehrsmittel]]="PKW",Tabelle24[[#This Row],[Anzahl Studierende ]]*Tabelle24[[#This Row],[Entfernung (km) gesamt]],0)</f>
        <v>0</v>
      </c>
      <c r="N19" s="40">
        <f>IF(Tabelle24[[#This Row],[Verkehrsmittel]]="Flug", IF(AND(Tabelle24[[#This Row],[Entfernung (km) einfach]]&lt;500),Tabelle24[[#This Row],[Entfernung (km) gesamt]]), 0)*Tabelle24[[#This Row],[Anzahl Studierende ]]</f>
        <v>0</v>
      </c>
      <c r="O19" s="40">
        <f>IF(Tabelle24[[#This Row],[Verkehrsmittel]]="Flug", IF(AND(Tabelle24[[#This Row],[Entfernung (km) einfach]]&gt;500,Tabelle24[[#This Row],[Entfernung (km) einfach]]&lt;1000),Tabelle24[[#This Row],[Entfernung (km) gesamt]], 0), 0)*Tabelle24[[#This Row],[Anzahl Studierende ]]</f>
        <v>0</v>
      </c>
      <c r="P19" s="40">
        <f>IF(Tabelle24[[#This Row],[Verkehrsmittel]]="Flug", IF(AND(Tabelle24[[#This Row],[Entfernung (km) einfach]]&gt;1000,Tabelle24[[#This Row],[Entfernung (km) einfach]]&lt;2000),Tabelle24[[#This Row],[Entfernung (km) gesamt]], 0), 0)*Tabelle24[[#This Row],[Anzahl Studierende ]]</f>
        <v>0</v>
      </c>
      <c r="Q19" s="40">
        <f>IF(Tabelle24[[#This Row],[Verkehrsmittel]]="Flug", IF(AND(Tabelle24[[#This Row],[Entfernung (km) einfach]]&gt;2000,Tabelle24[[#This Row],[Entfernung (km) einfach]]&lt;5000),Tabelle24[[#This Row],[Entfernung (km) gesamt]], 0), 0)*Tabelle24[[#This Row],[Anzahl Studierende ]]</f>
        <v>0</v>
      </c>
      <c r="R19" s="40">
        <f>IF(Tabelle24[[#This Row],[Verkehrsmittel]]="Flug", IF(AND(Tabelle24[[#This Row],[Entfernung (km) einfach]]&gt;5000,Tabelle24[[#This Row],[Entfernung (km) einfach]]&lt;10000),Tabelle24[[#This Row],[Entfernung (km) gesamt]], 0), 0)*Tabelle24[[#This Row],[Anzahl Studierende ]]</f>
        <v>0</v>
      </c>
      <c r="S19" s="40">
        <f>IF(Tabelle24[[#This Row],[Verkehrsmittel]]="Flug", IF(AND(Tabelle24[[#This Row],[Entfernung (km) einfach]]&gt;10000),Tabelle24[[#This Row],[Entfernung (km) gesamt]]), 0)*Tabelle24[[#This Row],[Anzahl Studierende ]]</f>
        <v>0</v>
      </c>
      <c r="T19" s="40">
        <f>IF(Tabelle24[[#This Row],[Verkehrsmittel]]="Motorrad",Tabelle24[[#This Row],[Entfernung (km) gesamt]],0)*Tabelle24[[#This Row],[Anzahl Studierende ]]</f>
        <v>0</v>
      </c>
      <c r="U19" s="40">
        <f>IF(Tabelle24[[#This Row],[Verkehrsmittel]]="Straßen-, S-, U-Bahn",Tabelle24[[#This Row],[Entfernung (km) gesamt]],0)*Tabelle24[[#This Row],[Anzahl Studierende ]]</f>
        <v>0</v>
      </c>
      <c r="V19" s="40">
        <f>IF(Tabelle24[[#This Row],[Verkehrsmittel]]="Fahrrad",Tabelle24[[#This Row],[Entfernung (km) gesamt]],0)*Tabelle24[[#This Row],[Anzahl Studierende ]]</f>
        <v>0</v>
      </c>
    </row>
    <row r="20" spans="1:22" s="9" customFormat="1">
      <c r="A20"/>
      <c r="B20" s="126"/>
      <c r="C20" s="127"/>
      <c r="D20" s="128"/>
      <c r="E20" s="128"/>
      <c r="F20" s="128"/>
      <c r="G20" s="128"/>
      <c r="H20" s="130">
        <f>Tabelle24[[#This Row],[Entfernung (km) einfach]]*2</f>
        <v>0</v>
      </c>
      <c r="I20" s="128"/>
      <c r="J20" s="129"/>
      <c r="K20" s="40">
        <f>IF(Tabelle24[[#This Row],[Verkehrsmittel]]="Bus",Tabelle24[[#This Row],[Entfernung (km) gesamt]],0)*Tabelle24[[#This Row],[Anzahl Studierende ]]</f>
        <v>0</v>
      </c>
      <c r="L20" s="40">
        <f>IF(Tabelle24[[#This Row],[Verkehrsmittel]]="Bahn",Tabelle24[[#This Row],[Anzahl Studierende ]]*Tabelle24[[#This Row],[Entfernung (km) gesamt]],0)</f>
        <v>0</v>
      </c>
      <c r="M20" s="40">
        <f>IF(Tabelle24[[#This Row],[Verkehrsmittel]]="PKW",Tabelle24[[#This Row],[Anzahl Studierende ]]*Tabelle24[[#This Row],[Entfernung (km) gesamt]],0)</f>
        <v>0</v>
      </c>
      <c r="N20" s="40">
        <f>IF(Tabelle24[[#This Row],[Verkehrsmittel]]="Flug", IF(AND(Tabelle24[[#This Row],[Entfernung (km) einfach]]&lt;500),Tabelle24[[#This Row],[Entfernung (km) gesamt]]), 0)*Tabelle24[[#This Row],[Anzahl Studierende ]]</f>
        <v>0</v>
      </c>
      <c r="O20" s="40">
        <f>IF(Tabelle24[[#This Row],[Verkehrsmittel]]="Flug", IF(AND(Tabelle24[[#This Row],[Entfernung (km) einfach]]&gt;500,Tabelle24[[#This Row],[Entfernung (km) einfach]]&lt;1000),Tabelle24[[#This Row],[Entfernung (km) gesamt]], 0), 0)*Tabelle24[[#This Row],[Anzahl Studierende ]]</f>
        <v>0</v>
      </c>
      <c r="P20" s="40">
        <f>IF(Tabelle24[[#This Row],[Verkehrsmittel]]="Flug", IF(AND(Tabelle24[[#This Row],[Entfernung (km) einfach]]&gt;1000,Tabelle24[[#This Row],[Entfernung (km) einfach]]&lt;2000),Tabelle24[[#This Row],[Entfernung (km) gesamt]], 0), 0)*Tabelle24[[#This Row],[Anzahl Studierende ]]</f>
        <v>0</v>
      </c>
      <c r="Q20" s="40">
        <f>IF(Tabelle24[[#This Row],[Verkehrsmittel]]="Flug", IF(AND(Tabelle24[[#This Row],[Entfernung (km) einfach]]&gt;2000,Tabelle24[[#This Row],[Entfernung (km) einfach]]&lt;5000),Tabelle24[[#This Row],[Entfernung (km) gesamt]], 0), 0)*Tabelle24[[#This Row],[Anzahl Studierende ]]</f>
        <v>0</v>
      </c>
      <c r="R20" s="40">
        <f>IF(Tabelle24[[#This Row],[Verkehrsmittel]]="Flug", IF(AND(Tabelle24[[#This Row],[Entfernung (km) einfach]]&gt;5000,Tabelle24[[#This Row],[Entfernung (km) einfach]]&lt;10000),Tabelle24[[#This Row],[Entfernung (km) gesamt]], 0), 0)*Tabelle24[[#This Row],[Anzahl Studierende ]]</f>
        <v>0</v>
      </c>
      <c r="S20" s="40">
        <f>IF(Tabelle24[[#This Row],[Verkehrsmittel]]="Flug", IF(AND(Tabelle24[[#This Row],[Entfernung (km) einfach]]&gt;10000),Tabelle24[[#This Row],[Entfernung (km) gesamt]]), 0)*Tabelle24[[#This Row],[Anzahl Studierende ]]</f>
        <v>0</v>
      </c>
      <c r="T20" s="40">
        <f>IF(Tabelle24[[#This Row],[Verkehrsmittel]]="Motorrad",Tabelle24[[#This Row],[Entfernung (km) gesamt]],0)*Tabelle24[[#This Row],[Anzahl Studierende ]]</f>
        <v>0</v>
      </c>
      <c r="U20" s="40">
        <f>IF(Tabelle24[[#This Row],[Verkehrsmittel]]="Straßen-, S-, U-Bahn",Tabelle24[[#This Row],[Entfernung (km) gesamt]],0)*Tabelle24[[#This Row],[Anzahl Studierende ]]</f>
        <v>0</v>
      </c>
      <c r="V20" s="40">
        <f>IF(Tabelle24[[#This Row],[Verkehrsmittel]]="Fahrrad",Tabelle24[[#This Row],[Entfernung (km) gesamt]],0)*Tabelle24[[#This Row],[Anzahl Studierende ]]</f>
        <v>0</v>
      </c>
    </row>
    <row r="21" spans="1:22" s="9" customFormat="1">
      <c r="A21"/>
      <c r="B21" s="126"/>
      <c r="C21" s="127"/>
      <c r="D21" s="128"/>
      <c r="E21" s="128"/>
      <c r="F21" s="128"/>
      <c r="G21" s="128"/>
      <c r="H21" s="130">
        <f>Tabelle24[[#This Row],[Entfernung (km) einfach]]*2</f>
        <v>0</v>
      </c>
      <c r="I21" s="128"/>
      <c r="J21" s="129"/>
      <c r="K21" s="40">
        <f>IF(Tabelle24[[#This Row],[Verkehrsmittel]]="Bus",Tabelle24[[#This Row],[Entfernung (km) gesamt]],0)*Tabelle24[[#This Row],[Anzahl Studierende ]]</f>
        <v>0</v>
      </c>
      <c r="L21" s="40">
        <f>IF(Tabelle24[[#This Row],[Verkehrsmittel]]="Bahn",Tabelle24[[#This Row],[Anzahl Studierende ]]*Tabelle24[[#This Row],[Entfernung (km) gesamt]],0)</f>
        <v>0</v>
      </c>
      <c r="M21" s="40">
        <f>IF(Tabelle24[[#This Row],[Verkehrsmittel]]="PKW",Tabelle24[[#This Row],[Anzahl Studierende ]]*Tabelle24[[#This Row],[Entfernung (km) gesamt]],0)</f>
        <v>0</v>
      </c>
      <c r="N21" s="40">
        <f>IF(Tabelle24[[#This Row],[Verkehrsmittel]]="Flug", IF(AND(Tabelle24[[#This Row],[Entfernung (km) einfach]]&lt;500),Tabelle24[[#This Row],[Entfernung (km) gesamt]]), 0)*Tabelle24[[#This Row],[Anzahl Studierende ]]</f>
        <v>0</v>
      </c>
      <c r="O21" s="40">
        <f>IF(Tabelle24[[#This Row],[Verkehrsmittel]]="Flug", IF(AND(Tabelle24[[#This Row],[Entfernung (km) einfach]]&gt;500,Tabelle24[[#This Row],[Entfernung (km) einfach]]&lt;1000),Tabelle24[[#This Row],[Entfernung (km) gesamt]], 0), 0)*Tabelle24[[#This Row],[Anzahl Studierende ]]</f>
        <v>0</v>
      </c>
      <c r="P21" s="40">
        <f>IF(Tabelle24[[#This Row],[Verkehrsmittel]]="Flug", IF(AND(Tabelle24[[#This Row],[Entfernung (km) einfach]]&gt;1000,Tabelle24[[#This Row],[Entfernung (km) einfach]]&lt;2000),Tabelle24[[#This Row],[Entfernung (km) gesamt]], 0), 0)*Tabelle24[[#This Row],[Anzahl Studierende ]]</f>
        <v>0</v>
      </c>
      <c r="Q21" s="40">
        <f>IF(Tabelle24[[#This Row],[Verkehrsmittel]]="Flug", IF(AND(Tabelle24[[#This Row],[Entfernung (km) einfach]]&gt;2000,Tabelle24[[#This Row],[Entfernung (km) einfach]]&lt;5000),Tabelle24[[#This Row],[Entfernung (km) gesamt]], 0), 0)*Tabelle24[[#This Row],[Anzahl Studierende ]]</f>
        <v>0</v>
      </c>
      <c r="R21" s="40">
        <f>IF(Tabelle24[[#This Row],[Verkehrsmittel]]="Flug", IF(AND(Tabelle24[[#This Row],[Entfernung (km) einfach]]&gt;5000,Tabelle24[[#This Row],[Entfernung (km) einfach]]&lt;10000),Tabelle24[[#This Row],[Entfernung (km) gesamt]], 0), 0)*Tabelle24[[#This Row],[Anzahl Studierende ]]</f>
        <v>0</v>
      </c>
      <c r="S21" s="40">
        <f>IF(Tabelle24[[#This Row],[Verkehrsmittel]]="Flug", IF(AND(Tabelle24[[#This Row],[Entfernung (km) einfach]]&gt;10000),Tabelle24[[#This Row],[Entfernung (km) gesamt]]), 0)*Tabelle24[[#This Row],[Anzahl Studierende ]]</f>
        <v>0</v>
      </c>
      <c r="T21" s="40">
        <f>IF(Tabelle24[[#This Row],[Verkehrsmittel]]="Motorrad",Tabelle24[[#This Row],[Entfernung (km) gesamt]],0)*Tabelle24[[#This Row],[Anzahl Studierende ]]</f>
        <v>0</v>
      </c>
      <c r="U21" s="40">
        <f>IF(Tabelle24[[#This Row],[Verkehrsmittel]]="Straßen-, S-, U-Bahn",Tabelle24[[#This Row],[Entfernung (km) gesamt]],0)*Tabelle24[[#This Row],[Anzahl Studierende ]]</f>
        <v>0</v>
      </c>
      <c r="V21" s="40">
        <f>IF(Tabelle24[[#This Row],[Verkehrsmittel]]="Fahrrad",Tabelle24[[#This Row],[Entfernung (km) gesamt]],0)*Tabelle24[[#This Row],[Anzahl Studierende ]]</f>
        <v>0</v>
      </c>
    </row>
    <row r="22" spans="1:22" s="9" customFormat="1">
      <c r="A22"/>
      <c r="B22" s="126"/>
      <c r="C22" s="127"/>
      <c r="D22" s="128"/>
      <c r="E22" s="128"/>
      <c r="F22" s="128"/>
      <c r="G22" s="128"/>
      <c r="H22" s="130">
        <f>Tabelle24[[#This Row],[Entfernung (km) einfach]]*2</f>
        <v>0</v>
      </c>
      <c r="I22" s="128"/>
      <c r="J22" s="129"/>
      <c r="K22" s="40">
        <f>IF(Tabelle24[[#This Row],[Verkehrsmittel]]="Bus",Tabelle24[[#This Row],[Entfernung (km) gesamt]],0)*Tabelle24[[#This Row],[Anzahl Studierende ]]</f>
        <v>0</v>
      </c>
      <c r="L22" s="40">
        <f>IF(Tabelle24[[#This Row],[Verkehrsmittel]]="Bahn",Tabelle24[[#This Row],[Anzahl Studierende ]]*Tabelle24[[#This Row],[Entfernung (km) gesamt]],0)</f>
        <v>0</v>
      </c>
      <c r="M22" s="40">
        <f>IF(Tabelle24[[#This Row],[Verkehrsmittel]]="PKW",Tabelle24[[#This Row],[Anzahl Studierende ]]*Tabelle24[[#This Row],[Entfernung (km) gesamt]],0)</f>
        <v>0</v>
      </c>
      <c r="N22" s="40">
        <f>IF(Tabelle24[[#This Row],[Verkehrsmittel]]="Flug", IF(AND(Tabelle24[[#This Row],[Entfernung (km) einfach]]&lt;500),Tabelle24[[#This Row],[Entfernung (km) gesamt]]), 0)*Tabelle24[[#This Row],[Anzahl Studierende ]]</f>
        <v>0</v>
      </c>
      <c r="O22" s="40">
        <f>IF(Tabelle24[[#This Row],[Verkehrsmittel]]="Flug", IF(AND(Tabelle24[[#This Row],[Entfernung (km) einfach]]&gt;500,Tabelle24[[#This Row],[Entfernung (km) einfach]]&lt;1000),Tabelle24[[#This Row],[Entfernung (km) gesamt]], 0), 0)*Tabelle24[[#This Row],[Anzahl Studierende ]]</f>
        <v>0</v>
      </c>
      <c r="P22" s="40">
        <f>IF(Tabelle24[[#This Row],[Verkehrsmittel]]="Flug", IF(AND(Tabelle24[[#This Row],[Entfernung (km) einfach]]&gt;1000,Tabelle24[[#This Row],[Entfernung (km) einfach]]&lt;2000),Tabelle24[[#This Row],[Entfernung (km) gesamt]], 0), 0)*Tabelle24[[#This Row],[Anzahl Studierende ]]</f>
        <v>0</v>
      </c>
      <c r="Q22" s="40">
        <f>IF(Tabelle24[[#This Row],[Verkehrsmittel]]="Flug", IF(AND(Tabelle24[[#This Row],[Entfernung (km) einfach]]&gt;2000,Tabelle24[[#This Row],[Entfernung (km) einfach]]&lt;5000),Tabelle24[[#This Row],[Entfernung (km) gesamt]], 0), 0)*Tabelle24[[#This Row],[Anzahl Studierende ]]</f>
        <v>0</v>
      </c>
      <c r="R22" s="40">
        <f>IF(Tabelle24[[#This Row],[Verkehrsmittel]]="Flug", IF(AND(Tabelle24[[#This Row],[Entfernung (km) einfach]]&gt;5000,Tabelle24[[#This Row],[Entfernung (km) einfach]]&lt;10000),Tabelle24[[#This Row],[Entfernung (km) gesamt]], 0), 0)*Tabelle24[[#This Row],[Anzahl Studierende ]]</f>
        <v>0</v>
      </c>
      <c r="S22" s="40">
        <f>IF(Tabelle24[[#This Row],[Verkehrsmittel]]="Flug", IF(AND(Tabelle24[[#This Row],[Entfernung (km) einfach]]&gt;10000),Tabelle24[[#This Row],[Entfernung (km) gesamt]]), 0)*Tabelle24[[#This Row],[Anzahl Studierende ]]</f>
        <v>0</v>
      </c>
      <c r="T22" s="40">
        <f>IF(Tabelle24[[#This Row],[Verkehrsmittel]]="Motorrad",Tabelle24[[#This Row],[Entfernung (km) gesamt]],0)*Tabelle24[[#This Row],[Anzahl Studierende ]]</f>
        <v>0</v>
      </c>
      <c r="U22" s="40">
        <f>IF(Tabelle24[[#This Row],[Verkehrsmittel]]="Straßen-, S-, U-Bahn",Tabelle24[[#This Row],[Entfernung (km) gesamt]],0)*Tabelle24[[#This Row],[Anzahl Studierende ]]</f>
        <v>0</v>
      </c>
      <c r="V22" s="40">
        <f>IF(Tabelle24[[#This Row],[Verkehrsmittel]]="Fahrrad",Tabelle24[[#This Row],[Entfernung (km) gesamt]],0)*Tabelle24[[#This Row],[Anzahl Studierende ]]</f>
        <v>0</v>
      </c>
    </row>
    <row r="23" spans="1:22" s="9" customFormat="1">
      <c r="A23"/>
      <c r="B23" s="126"/>
      <c r="C23" s="127"/>
      <c r="D23" s="128"/>
      <c r="E23" s="128"/>
      <c r="F23" s="128"/>
      <c r="G23" s="128"/>
      <c r="H23" s="130">
        <f>Tabelle24[[#This Row],[Entfernung (km) einfach]]*2</f>
        <v>0</v>
      </c>
      <c r="I23" s="128"/>
      <c r="J23" s="129"/>
      <c r="K23" s="40">
        <f>IF(Tabelle24[[#This Row],[Verkehrsmittel]]="Bus",Tabelle24[[#This Row],[Entfernung (km) gesamt]],0)*Tabelle24[[#This Row],[Anzahl Studierende ]]</f>
        <v>0</v>
      </c>
      <c r="L23" s="40">
        <f>IF(Tabelle24[[#This Row],[Verkehrsmittel]]="Bahn",Tabelle24[[#This Row],[Anzahl Studierende ]]*Tabelle24[[#This Row],[Entfernung (km) gesamt]],0)</f>
        <v>0</v>
      </c>
      <c r="M23" s="40">
        <f>IF(Tabelle24[[#This Row],[Verkehrsmittel]]="PKW",Tabelle24[[#This Row],[Anzahl Studierende ]]*Tabelle24[[#This Row],[Entfernung (km) gesamt]],0)</f>
        <v>0</v>
      </c>
      <c r="N23" s="40">
        <f>IF(Tabelle24[[#This Row],[Verkehrsmittel]]="Flug", IF(AND(Tabelle24[[#This Row],[Entfernung (km) einfach]]&lt;500),Tabelle24[[#This Row],[Entfernung (km) gesamt]]), 0)*Tabelle24[[#This Row],[Anzahl Studierende ]]</f>
        <v>0</v>
      </c>
      <c r="O23" s="40">
        <f>IF(Tabelle24[[#This Row],[Verkehrsmittel]]="Flug", IF(AND(Tabelle24[[#This Row],[Entfernung (km) einfach]]&gt;500,Tabelle24[[#This Row],[Entfernung (km) einfach]]&lt;1000),Tabelle24[[#This Row],[Entfernung (km) gesamt]], 0), 0)*Tabelle24[[#This Row],[Anzahl Studierende ]]</f>
        <v>0</v>
      </c>
      <c r="P23" s="40">
        <f>IF(Tabelle24[[#This Row],[Verkehrsmittel]]="Flug", IF(AND(Tabelle24[[#This Row],[Entfernung (km) einfach]]&gt;1000,Tabelle24[[#This Row],[Entfernung (km) einfach]]&lt;2000),Tabelle24[[#This Row],[Entfernung (km) gesamt]], 0), 0)*Tabelle24[[#This Row],[Anzahl Studierende ]]</f>
        <v>0</v>
      </c>
      <c r="Q23" s="40">
        <f>IF(Tabelle24[[#This Row],[Verkehrsmittel]]="Flug", IF(AND(Tabelle24[[#This Row],[Entfernung (km) einfach]]&gt;2000,Tabelle24[[#This Row],[Entfernung (km) einfach]]&lt;5000),Tabelle24[[#This Row],[Entfernung (km) gesamt]], 0), 0)*Tabelle24[[#This Row],[Anzahl Studierende ]]</f>
        <v>0</v>
      </c>
      <c r="R23" s="40">
        <f>IF(Tabelle24[[#This Row],[Verkehrsmittel]]="Flug", IF(AND(Tabelle24[[#This Row],[Entfernung (km) einfach]]&gt;5000,Tabelle24[[#This Row],[Entfernung (km) einfach]]&lt;10000),Tabelle24[[#This Row],[Entfernung (km) gesamt]], 0), 0)*Tabelle24[[#This Row],[Anzahl Studierende ]]</f>
        <v>0</v>
      </c>
      <c r="S23" s="40">
        <f>IF(Tabelle24[[#This Row],[Verkehrsmittel]]="Flug", IF(AND(Tabelle24[[#This Row],[Entfernung (km) einfach]]&gt;10000),Tabelle24[[#This Row],[Entfernung (km) gesamt]]), 0)*Tabelle24[[#This Row],[Anzahl Studierende ]]</f>
        <v>0</v>
      </c>
      <c r="T23" s="40">
        <f>IF(Tabelle24[[#This Row],[Verkehrsmittel]]="Motorrad",Tabelle24[[#This Row],[Entfernung (km) gesamt]],0)*Tabelle24[[#This Row],[Anzahl Studierende ]]</f>
        <v>0</v>
      </c>
      <c r="U23" s="40">
        <f>IF(Tabelle24[[#This Row],[Verkehrsmittel]]="Straßen-, S-, U-Bahn",Tabelle24[[#This Row],[Entfernung (km) gesamt]],0)*Tabelle24[[#This Row],[Anzahl Studierende ]]</f>
        <v>0</v>
      </c>
      <c r="V23" s="40">
        <f>IF(Tabelle24[[#This Row],[Verkehrsmittel]]="Fahrrad",Tabelle24[[#This Row],[Entfernung (km) gesamt]],0)*Tabelle24[[#This Row],[Anzahl Studierende ]]</f>
        <v>0</v>
      </c>
    </row>
    <row r="24" spans="1:22" s="9" customFormat="1">
      <c r="A24"/>
      <c r="B24" s="126"/>
      <c r="C24" s="127"/>
      <c r="D24" s="128"/>
      <c r="E24" s="128"/>
      <c r="F24" s="128"/>
      <c r="G24" s="128"/>
      <c r="H24" s="130">
        <f>Tabelle24[[#This Row],[Entfernung (km) einfach]]*2</f>
        <v>0</v>
      </c>
      <c r="I24" s="128"/>
      <c r="J24" s="129"/>
      <c r="K24" s="40">
        <f>IF(Tabelle24[[#This Row],[Verkehrsmittel]]="Bus",Tabelle24[[#This Row],[Entfernung (km) gesamt]],0)*Tabelle24[[#This Row],[Anzahl Studierende ]]</f>
        <v>0</v>
      </c>
      <c r="L24" s="40">
        <f>IF(Tabelle24[[#This Row],[Verkehrsmittel]]="Bahn",Tabelle24[[#This Row],[Anzahl Studierende ]]*Tabelle24[[#This Row],[Entfernung (km) gesamt]],0)</f>
        <v>0</v>
      </c>
      <c r="M24" s="40">
        <f>IF(Tabelle24[[#This Row],[Verkehrsmittel]]="PKW",Tabelle24[[#This Row],[Anzahl Studierende ]]*Tabelle24[[#This Row],[Entfernung (km) gesamt]],0)</f>
        <v>0</v>
      </c>
      <c r="N24" s="40">
        <f>IF(Tabelle24[[#This Row],[Verkehrsmittel]]="Flug", IF(AND(Tabelle24[[#This Row],[Entfernung (km) einfach]]&lt;500),Tabelle24[[#This Row],[Entfernung (km) gesamt]]), 0)*Tabelle24[[#This Row],[Anzahl Studierende ]]</f>
        <v>0</v>
      </c>
      <c r="O24" s="40">
        <f>IF(Tabelle24[[#This Row],[Verkehrsmittel]]="Flug", IF(AND(Tabelle24[[#This Row],[Entfernung (km) einfach]]&gt;500,Tabelle24[[#This Row],[Entfernung (km) einfach]]&lt;1000),Tabelle24[[#This Row],[Entfernung (km) gesamt]], 0), 0)*Tabelle24[[#This Row],[Anzahl Studierende ]]</f>
        <v>0</v>
      </c>
      <c r="P24" s="40">
        <f>IF(Tabelle24[[#This Row],[Verkehrsmittel]]="Flug", IF(AND(Tabelle24[[#This Row],[Entfernung (km) einfach]]&gt;1000,Tabelle24[[#This Row],[Entfernung (km) einfach]]&lt;2000),Tabelle24[[#This Row],[Entfernung (km) gesamt]], 0), 0)*Tabelle24[[#This Row],[Anzahl Studierende ]]</f>
        <v>0</v>
      </c>
      <c r="Q24" s="40">
        <f>IF(Tabelle24[[#This Row],[Verkehrsmittel]]="Flug", IF(AND(Tabelle24[[#This Row],[Entfernung (km) einfach]]&gt;2000,Tabelle24[[#This Row],[Entfernung (km) einfach]]&lt;5000),Tabelle24[[#This Row],[Entfernung (km) gesamt]], 0), 0)*Tabelle24[[#This Row],[Anzahl Studierende ]]</f>
        <v>0</v>
      </c>
      <c r="R24" s="40">
        <f>IF(Tabelle24[[#This Row],[Verkehrsmittel]]="Flug", IF(AND(Tabelle24[[#This Row],[Entfernung (km) einfach]]&gt;5000,Tabelle24[[#This Row],[Entfernung (km) einfach]]&lt;10000),Tabelle24[[#This Row],[Entfernung (km) gesamt]], 0), 0)*Tabelle24[[#This Row],[Anzahl Studierende ]]</f>
        <v>0</v>
      </c>
      <c r="S24" s="40">
        <f>IF(Tabelle24[[#This Row],[Verkehrsmittel]]="Flug", IF(AND(Tabelle24[[#This Row],[Entfernung (km) einfach]]&gt;10000),Tabelle24[[#This Row],[Entfernung (km) gesamt]]), 0)*Tabelle24[[#This Row],[Anzahl Studierende ]]</f>
        <v>0</v>
      </c>
      <c r="T24" s="40">
        <f>IF(Tabelle24[[#This Row],[Verkehrsmittel]]="Motorrad",Tabelle24[[#This Row],[Entfernung (km) gesamt]],0)*Tabelle24[[#This Row],[Anzahl Studierende ]]</f>
        <v>0</v>
      </c>
      <c r="U24" s="40">
        <f>IF(Tabelle24[[#This Row],[Verkehrsmittel]]="Straßen-, S-, U-Bahn",Tabelle24[[#This Row],[Entfernung (km) gesamt]],0)*Tabelle24[[#This Row],[Anzahl Studierende ]]</f>
        <v>0</v>
      </c>
      <c r="V24" s="40">
        <f>IF(Tabelle24[[#This Row],[Verkehrsmittel]]="Fahrrad",Tabelle24[[#This Row],[Entfernung (km) gesamt]],0)*Tabelle24[[#This Row],[Anzahl Studierende ]]</f>
        <v>0</v>
      </c>
    </row>
    <row r="25" spans="1:22" s="9" customFormat="1">
      <c r="A25"/>
      <c r="B25" s="126"/>
      <c r="C25" s="127"/>
      <c r="D25" s="128"/>
      <c r="E25" s="128"/>
      <c r="F25" s="128"/>
      <c r="G25" s="128"/>
      <c r="H25" s="130">
        <f>Tabelle24[[#This Row],[Entfernung (km) einfach]]*2</f>
        <v>0</v>
      </c>
      <c r="I25" s="128"/>
      <c r="J25" s="129"/>
      <c r="K25" s="40">
        <f>IF(Tabelle24[[#This Row],[Verkehrsmittel]]="Bus",Tabelle24[[#This Row],[Entfernung (km) gesamt]],0)*Tabelle24[[#This Row],[Anzahl Studierende ]]</f>
        <v>0</v>
      </c>
      <c r="L25" s="40">
        <f>IF(Tabelle24[[#This Row],[Verkehrsmittel]]="Bahn",Tabelle24[[#This Row],[Anzahl Studierende ]]*Tabelle24[[#This Row],[Entfernung (km) gesamt]],0)</f>
        <v>0</v>
      </c>
      <c r="M25" s="40">
        <f>IF(Tabelle24[[#This Row],[Verkehrsmittel]]="PKW",Tabelle24[[#This Row],[Anzahl Studierende ]]*Tabelle24[[#This Row],[Entfernung (km) gesamt]],0)</f>
        <v>0</v>
      </c>
      <c r="N25" s="40">
        <f>IF(Tabelle24[[#This Row],[Verkehrsmittel]]="Flug", IF(AND(Tabelle24[[#This Row],[Entfernung (km) einfach]]&lt;500),Tabelle24[[#This Row],[Entfernung (km) gesamt]]), 0)*Tabelle24[[#This Row],[Anzahl Studierende ]]</f>
        <v>0</v>
      </c>
      <c r="O25" s="40">
        <f>IF(Tabelle24[[#This Row],[Verkehrsmittel]]="Flug", IF(AND(Tabelle24[[#This Row],[Entfernung (km) einfach]]&gt;500,Tabelle24[[#This Row],[Entfernung (km) einfach]]&lt;1000),Tabelle24[[#This Row],[Entfernung (km) gesamt]], 0), 0)*Tabelle24[[#This Row],[Anzahl Studierende ]]</f>
        <v>0</v>
      </c>
      <c r="P25" s="40">
        <f>IF(Tabelle24[[#This Row],[Verkehrsmittel]]="Flug", IF(AND(Tabelle24[[#This Row],[Entfernung (km) einfach]]&gt;1000,Tabelle24[[#This Row],[Entfernung (km) einfach]]&lt;2000),Tabelle24[[#This Row],[Entfernung (km) gesamt]], 0), 0)*Tabelle24[[#This Row],[Anzahl Studierende ]]</f>
        <v>0</v>
      </c>
      <c r="Q25" s="40">
        <f>IF(Tabelle24[[#This Row],[Verkehrsmittel]]="Flug", IF(AND(Tabelle24[[#This Row],[Entfernung (km) einfach]]&gt;2000,Tabelle24[[#This Row],[Entfernung (km) einfach]]&lt;5000),Tabelle24[[#This Row],[Entfernung (km) gesamt]], 0), 0)*Tabelle24[[#This Row],[Anzahl Studierende ]]</f>
        <v>0</v>
      </c>
      <c r="R25" s="40">
        <f>IF(Tabelle24[[#This Row],[Verkehrsmittel]]="Flug", IF(AND(Tabelle24[[#This Row],[Entfernung (km) einfach]]&gt;5000,Tabelle24[[#This Row],[Entfernung (km) einfach]]&lt;10000),Tabelle24[[#This Row],[Entfernung (km) gesamt]], 0), 0)*Tabelle24[[#This Row],[Anzahl Studierende ]]</f>
        <v>0</v>
      </c>
      <c r="S25" s="40">
        <f>IF(Tabelle24[[#This Row],[Verkehrsmittel]]="Flug", IF(AND(Tabelle24[[#This Row],[Entfernung (km) einfach]]&gt;10000),Tabelle24[[#This Row],[Entfernung (km) gesamt]]), 0)*Tabelle24[[#This Row],[Anzahl Studierende ]]</f>
        <v>0</v>
      </c>
      <c r="T25" s="40">
        <f>IF(Tabelle24[[#This Row],[Verkehrsmittel]]="Motorrad",Tabelle24[[#This Row],[Entfernung (km) gesamt]],0)*Tabelle24[[#This Row],[Anzahl Studierende ]]</f>
        <v>0</v>
      </c>
      <c r="U25" s="40">
        <f>IF(Tabelle24[[#This Row],[Verkehrsmittel]]="Straßen-, S-, U-Bahn",Tabelle24[[#This Row],[Entfernung (km) gesamt]],0)*Tabelle24[[#This Row],[Anzahl Studierende ]]</f>
        <v>0</v>
      </c>
      <c r="V25" s="40">
        <f>IF(Tabelle24[[#This Row],[Verkehrsmittel]]="Fahrrad",Tabelle24[[#This Row],[Entfernung (km) gesamt]],0)*Tabelle24[[#This Row],[Anzahl Studierende ]]</f>
        <v>0</v>
      </c>
    </row>
    <row r="26" spans="1:22" s="9" customFormat="1">
      <c r="A26"/>
      <c r="B26" s="126"/>
      <c r="C26" s="127"/>
      <c r="D26" s="128"/>
      <c r="E26" s="128"/>
      <c r="F26" s="128"/>
      <c r="G26" s="128"/>
      <c r="H26" s="130">
        <f>Tabelle24[[#This Row],[Entfernung (km) einfach]]*2</f>
        <v>0</v>
      </c>
      <c r="I26" s="128"/>
      <c r="J26" s="129"/>
      <c r="K26" s="40">
        <f>IF(Tabelle24[[#This Row],[Verkehrsmittel]]="Bus",Tabelle24[[#This Row],[Entfernung (km) gesamt]],0)*Tabelle24[[#This Row],[Anzahl Studierende ]]</f>
        <v>0</v>
      </c>
      <c r="L26" s="40">
        <f>IF(Tabelle24[[#This Row],[Verkehrsmittel]]="Bahn",Tabelle24[[#This Row],[Anzahl Studierende ]]*Tabelle24[[#This Row],[Entfernung (km) gesamt]],0)</f>
        <v>0</v>
      </c>
      <c r="M26" s="40">
        <f>IF(Tabelle24[[#This Row],[Verkehrsmittel]]="PKW",Tabelle24[[#This Row],[Anzahl Studierende ]]*Tabelle24[[#This Row],[Entfernung (km) gesamt]],0)</f>
        <v>0</v>
      </c>
      <c r="N26" s="40">
        <f>IF(Tabelle24[[#This Row],[Verkehrsmittel]]="Flug", IF(AND(Tabelle24[[#This Row],[Entfernung (km) einfach]]&lt;500),Tabelle24[[#This Row],[Entfernung (km) gesamt]]), 0)*Tabelle24[[#This Row],[Anzahl Studierende ]]</f>
        <v>0</v>
      </c>
      <c r="O26" s="40">
        <f>IF(Tabelle24[[#This Row],[Verkehrsmittel]]="Flug", IF(AND(Tabelle24[[#This Row],[Entfernung (km) einfach]]&gt;500,Tabelle24[[#This Row],[Entfernung (km) einfach]]&lt;1000),Tabelle24[[#This Row],[Entfernung (km) gesamt]], 0), 0)*Tabelle24[[#This Row],[Anzahl Studierende ]]</f>
        <v>0</v>
      </c>
      <c r="P26" s="40">
        <f>IF(Tabelle24[[#This Row],[Verkehrsmittel]]="Flug", IF(AND(Tabelle24[[#This Row],[Entfernung (km) einfach]]&gt;1000,Tabelle24[[#This Row],[Entfernung (km) einfach]]&lt;2000),Tabelle24[[#This Row],[Entfernung (km) gesamt]], 0), 0)*Tabelle24[[#This Row],[Anzahl Studierende ]]</f>
        <v>0</v>
      </c>
      <c r="Q26" s="40">
        <f>IF(Tabelle24[[#This Row],[Verkehrsmittel]]="Flug", IF(AND(Tabelle24[[#This Row],[Entfernung (km) einfach]]&gt;2000,Tabelle24[[#This Row],[Entfernung (km) einfach]]&lt;5000),Tabelle24[[#This Row],[Entfernung (km) gesamt]], 0), 0)*Tabelle24[[#This Row],[Anzahl Studierende ]]</f>
        <v>0</v>
      </c>
      <c r="R26" s="40">
        <f>IF(Tabelle24[[#This Row],[Verkehrsmittel]]="Flug", IF(AND(Tabelle24[[#This Row],[Entfernung (km) einfach]]&gt;5000,Tabelle24[[#This Row],[Entfernung (km) einfach]]&lt;10000),Tabelle24[[#This Row],[Entfernung (km) gesamt]], 0), 0)*Tabelle24[[#This Row],[Anzahl Studierende ]]</f>
        <v>0</v>
      </c>
      <c r="S26" s="40">
        <f>IF(Tabelle24[[#This Row],[Verkehrsmittel]]="Flug", IF(AND(Tabelle24[[#This Row],[Entfernung (km) einfach]]&gt;10000),Tabelle24[[#This Row],[Entfernung (km) gesamt]]), 0)*Tabelle24[[#This Row],[Anzahl Studierende ]]</f>
        <v>0</v>
      </c>
      <c r="T26" s="40">
        <f>IF(Tabelle24[[#This Row],[Verkehrsmittel]]="Motorrad",Tabelle24[[#This Row],[Entfernung (km) gesamt]],0)*Tabelle24[[#This Row],[Anzahl Studierende ]]</f>
        <v>0</v>
      </c>
      <c r="U26" s="40">
        <f>IF(Tabelle24[[#This Row],[Verkehrsmittel]]="Straßen-, S-, U-Bahn",Tabelle24[[#This Row],[Entfernung (km) gesamt]],0)*Tabelle24[[#This Row],[Anzahl Studierende ]]</f>
        <v>0</v>
      </c>
      <c r="V26" s="40">
        <f>IF(Tabelle24[[#This Row],[Verkehrsmittel]]="Fahrrad",Tabelle24[[#This Row],[Entfernung (km) gesamt]],0)*Tabelle24[[#This Row],[Anzahl Studierende ]]</f>
        <v>0</v>
      </c>
    </row>
    <row r="27" spans="1:22" s="9" customFormat="1">
      <c r="A27"/>
      <c r="B27" s="126"/>
      <c r="C27" s="127"/>
      <c r="D27" s="128"/>
      <c r="E27" s="128"/>
      <c r="F27" s="128"/>
      <c r="G27" s="128"/>
      <c r="H27" s="130">
        <f>Tabelle24[[#This Row],[Entfernung (km) einfach]]*2</f>
        <v>0</v>
      </c>
      <c r="I27" s="128"/>
      <c r="J27" s="129"/>
      <c r="K27" s="40">
        <f>IF(Tabelle24[[#This Row],[Verkehrsmittel]]="Bus",Tabelle24[[#This Row],[Entfernung (km) gesamt]],0)*Tabelle24[[#This Row],[Anzahl Studierende ]]</f>
        <v>0</v>
      </c>
      <c r="L27" s="40">
        <f>IF(Tabelle24[[#This Row],[Verkehrsmittel]]="Bahn",Tabelle24[[#This Row],[Anzahl Studierende ]]*Tabelle24[[#This Row],[Entfernung (km) gesamt]],0)</f>
        <v>0</v>
      </c>
      <c r="M27" s="40">
        <f>IF(Tabelle24[[#This Row],[Verkehrsmittel]]="PKW",Tabelle24[[#This Row],[Anzahl Studierende ]]*Tabelle24[[#This Row],[Entfernung (km) gesamt]],0)</f>
        <v>0</v>
      </c>
      <c r="N27" s="40">
        <f>IF(Tabelle24[[#This Row],[Verkehrsmittel]]="Flug", IF(AND(Tabelle24[[#This Row],[Entfernung (km) einfach]]&lt;500),Tabelle24[[#This Row],[Entfernung (km) gesamt]]), 0)*Tabelle24[[#This Row],[Anzahl Studierende ]]</f>
        <v>0</v>
      </c>
      <c r="O27" s="40">
        <f>IF(Tabelle24[[#This Row],[Verkehrsmittel]]="Flug", IF(AND(Tabelle24[[#This Row],[Entfernung (km) einfach]]&gt;500,Tabelle24[[#This Row],[Entfernung (km) einfach]]&lt;1000),Tabelle24[[#This Row],[Entfernung (km) gesamt]], 0), 0)*Tabelle24[[#This Row],[Anzahl Studierende ]]</f>
        <v>0</v>
      </c>
      <c r="P27" s="40">
        <f>IF(Tabelle24[[#This Row],[Verkehrsmittel]]="Flug", IF(AND(Tabelle24[[#This Row],[Entfernung (km) einfach]]&gt;1000,Tabelle24[[#This Row],[Entfernung (km) einfach]]&lt;2000),Tabelle24[[#This Row],[Entfernung (km) gesamt]], 0), 0)*Tabelle24[[#This Row],[Anzahl Studierende ]]</f>
        <v>0</v>
      </c>
      <c r="Q27" s="40">
        <f>IF(Tabelle24[[#This Row],[Verkehrsmittel]]="Flug", IF(AND(Tabelle24[[#This Row],[Entfernung (km) einfach]]&gt;2000,Tabelle24[[#This Row],[Entfernung (km) einfach]]&lt;5000),Tabelle24[[#This Row],[Entfernung (km) gesamt]], 0), 0)*Tabelle24[[#This Row],[Anzahl Studierende ]]</f>
        <v>0</v>
      </c>
      <c r="R27" s="40">
        <f>IF(Tabelle24[[#This Row],[Verkehrsmittel]]="Flug", IF(AND(Tabelle24[[#This Row],[Entfernung (km) einfach]]&gt;5000,Tabelle24[[#This Row],[Entfernung (km) einfach]]&lt;10000),Tabelle24[[#This Row],[Entfernung (km) gesamt]], 0), 0)*Tabelle24[[#This Row],[Anzahl Studierende ]]</f>
        <v>0</v>
      </c>
      <c r="S27" s="40">
        <f>IF(Tabelle24[[#This Row],[Verkehrsmittel]]="Flug", IF(AND(Tabelle24[[#This Row],[Entfernung (km) einfach]]&gt;10000),Tabelle24[[#This Row],[Entfernung (km) gesamt]]), 0)*Tabelle24[[#This Row],[Anzahl Studierende ]]</f>
        <v>0</v>
      </c>
      <c r="T27" s="40">
        <f>IF(Tabelle24[[#This Row],[Verkehrsmittel]]="Motorrad",Tabelle24[[#This Row],[Entfernung (km) gesamt]],0)*Tabelle24[[#This Row],[Anzahl Studierende ]]</f>
        <v>0</v>
      </c>
      <c r="U27" s="40">
        <f>IF(Tabelle24[[#This Row],[Verkehrsmittel]]="Straßen-, S-, U-Bahn",Tabelle24[[#This Row],[Entfernung (km) gesamt]],0)*Tabelle24[[#This Row],[Anzahl Studierende ]]</f>
        <v>0</v>
      </c>
      <c r="V27" s="40">
        <f>IF(Tabelle24[[#This Row],[Verkehrsmittel]]="Fahrrad",Tabelle24[[#This Row],[Entfernung (km) gesamt]],0)*Tabelle24[[#This Row],[Anzahl Studierende ]]</f>
        <v>0</v>
      </c>
    </row>
    <row r="28" spans="1:22" s="9" customFormat="1">
      <c r="A28"/>
      <c r="B28" s="126"/>
      <c r="C28" s="127"/>
      <c r="D28" s="128"/>
      <c r="E28" s="128"/>
      <c r="F28" s="128"/>
      <c r="G28" s="128"/>
      <c r="H28" s="130">
        <f>Tabelle24[[#This Row],[Entfernung (km) einfach]]*2</f>
        <v>0</v>
      </c>
      <c r="I28" s="128"/>
      <c r="J28" s="129"/>
      <c r="K28" s="40">
        <f>IF(Tabelle24[[#This Row],[Verkehrsmittel]]="Bus",Tabelle24[[#This Row],[Entfernung (km) gesamt]],0)*Tabelle24[[#This Row],[Anzahl Studierende ]]</f>
        <v>0</v>
      </c>
      <c r="L28" s="40">
        <f>IF(Tabelle24[[#This Row],[Verkehrsmittel]]="Bahn",Tabelle24[[#This Row],[Anzahl Studierende ]]*Tabelle24[[#This Row],[Entfernung (km) gesamt]],0)</f>
        <v>0</v>
      </c>
      <c r="M28" s="40">
        <f>IF(Tabelle24[[#This Row],[Verkehrsmittel]]="PKW",Tabelle24[[#This Row],[Anzahl Studierende ]]*Tabelle24[[#This Row],[Entfernung (km) gesamt]],0)</f>
        <v>0</v>
      </c>
      <c r="N28" s="40">
        <f>IF(Tabelle24[[#This Row],[Verkehrsmittel]]="Flug", IF(AND(Tabelle24[[#This Row],[Entfernung (km) einfach]]&lt;500),Tabelle24[[#This Row],[Entfernung (km) gesamt]]), 0)*Tabelle24[[#This Row],[Anzahl Studierende ]]</f>
        <v>0</v>
      </c>
      <c r="O28" s="40">
        <f>IF(Tabelle24[[#This Row],[Verkehrsmittel]]="Flug", IF(AND(Tabelle24[[#This Row],[Entfernung (km) einfach]]&gt;500,Tabelle24[[#This Row],[Entfernung (km) einfach]]&lt;1000),Tabelle24[[#This Row],[Entfernung (km) gesamt]], 0), 0)*Tabelle24[[#This Row],[Anzahl Studierende ]]</f>
        <v>0</v>
      </c>
      <c r="P28" s="40">
        <f>IF(Tabelle24[[#This Row],[Verkehrsmittel]]="Flug", IF(AND(Tabelle24[[#This Row],[Entfernung (km) einfach]]&gt;1000,Tabelle24[[#This Row],[Entfernung (km) einfach]]&lt;2000),Tabelle24[[#This Row],[Entfernung (km) gesamt]], 0), 0)*Tabelle24[[#This Row],[Anzahl Studierende ]]</f>
        <v>0</v>
      </c>
      <c r="Q28" s="40">
        <f>IF(Tabelle24[[#This Row],[Verkehrsmittel]]="Flug", IF(AND(Tabelle24[[#This Row],[Entfernung (km) einfach]]&gt;2000,Tabelle24[[#This Row],[Entfernung (km) einfach]]&lt;5000),Tabelle24[[#This Row],[Entfernung (km) gesamt]], 0), 0)*Tabelle24[[#This Row],[Anzahl Studierende ]]</f>
        <v>0</v>
      </c>
      <c r="R28" s="40">
        <f>IF(Tabelle24[[#This Row],[Verkehrsmittel]]="Flug", IF(AND(Tabelle24[[#This Row],[Entfernung (km) einfach]]&gt;5000,Tabelle24[[#This Row],[Entfernung (km) einfach]]&lt;10000),Tabelle24[[#This Row],[Entfernung (km) gesamt]], 0), 0)*Tabelle24[[#This Row],[Anzahl Studierende ]]</f>
        <v>0</v>
      </c>
      <c r="S28" s="40">
        <f>IF(Tabelle24[[#This Row],[Verkehrsmittel]]="Flug", IF(AND(Tabelle24[[#This Row],[Entfernung (km) einfach]]&gt;10000),Tabelle24[[#This Row],[Entfernung (km) gesamt]]), 0)*Tabelle24[[#This Row],[Anzahl Studierende ]]</f>
        <v>0</v>
      </c>
      <c r="T28" s="40">
        <f>IF(Tabelle24[[#This Row],[Verkehrsmittel]]="Motorrad",Tabelle24[[#This Row],[Entfernung (km) gesamt]],0)*Tabelle24[[#This Row],[Anzahl Studierende ]]</f>
        <v>0</v>
      </c>
      <c r="U28" s="40">
        <f>IF(Tabelle24[[#This Row],[Verkehrsmittel]]="Straßen-, S-, U-Bahn",Tabelle24[[#This Row],[Entfernung (km) gesamt]],0)*Tabelle24[[#This Row],[Anzahl Studierende ]]</f>
        <v>0</v>
      </c>
      <c r="V28" s="40">
        <f>IF(Tabelle24[[#This Row],[Verkehrsmittel]]="Fahrrad",Tabelle24[[#This Row],[Entfernung (km) gesamt]],0)*Tabelle24[[#This Row],[Anzahl Studierende ]]</f>
        <v>0</v>
      </c>
    </row>
    <row r="29" spans="1:22" s="9" customFormat="1">
      <c r="A29"/>
      <c r="B29" s="126"/>
      <c r="C29" s="127"/>
      <c r="D29" s="128"/>
      <c r="E29" s="128"/>
      <c r="F29" s="128"/>
      <c r="G29" s="128"/>
      <c r="H29" s="130">
        <f>Tabelle24[[#This Row],[Entfernung (km) einfach]]*2</f>
        <v>0</v>
      </c>
      <c r="I29" s="128"/>
      <c r="J29" s="129"/>
      <c r="K29" s="40">
        <f>IF(Tabelle24[[#This Row],[Verkehrsmittel]]="Bus",Tabelle24[[#This Row],[Entfernung (km) gesamt]],0)*Tabelle24[[#This Row],[Anzahl Studierende ]]</f>
        <v>0</v>
      </c>
      <c r="L29" s="40">
        <f>IF(Tabelle24[[#This Row],[Verkehrsmittel]]="Bahn",Tabelle24[[#This Row],[Anzahl Studierende ]]*Tabelle24[[#This Row],[Entfernung (km) gesamt]],0)</f>
        <v>0</v>
      </c>
      <c r="M29" s="40">
        <f>IF(Tabelle24[[#This Row],[Verkehrsmittel]]="PKW",Tabelle24[[#This Row],[Anzahl Studierende ]]*Tabelle24[[#This Row],[Entfernung (km) gesamt]],0)</f>
        <v>0</v>
      </c>
      <c r="N29" s="40">
        <f>IF(Tabelle24[[#This Row],[Verkehrsmittel]]="Flug", IF(AND(Tabelle24[[#This Row],[Entfernung (km) einfach]]&lt;500),Tabelle24[[#This Row],[Entfernung (km) gesamt]]), 0)*Tabelle24[[#This Row],[Anzahl Studierende ]]</f>
        <v>0</v>
      </c>
      <c r="O29" s="40">
        <f>IF(Tabelle24[[#This Row],[Verkehrsmittel]]="Flug", IF(AND(Tabelle24[[#This Row],[Entfernung (km) einfach]]&gt;500,Tabelle24[[#This Row],[Entfernung (km) einfach]]&lt;1000),Tabelle24[[#This Row],[Entfernung (km) gesamt]], 0), 0)*Tabelle24[[#This Row],[Anzahl Studierende ]]</f>
        <v>0</v>
      </c>
      <c r="P29" s="40">
        <f>IF(Tabelle24[[#This Row],[Verkehrsmittel]]="Flug", IF(AND(Tabelle24[[#This Row],[Entfernung (km) einfach]]&gt;1000,Tabelle24[[#This Row],[Entfernung (km) einfach]]&lt;2000),Tabelle24[[#This Row],[Entfernung (km) gesamt]], 0), 0)*Tabelle24[[#This Row],[Anzahl Studierende ]]</f>
        <v>0</v>
      </c>
      <c r="Q29" s="40">
        <f>IF(Tabelle24[[#This Row],[Verkehrsmittel]]="Flug", IF(AND(Tabelle24[[#This Row],[Entfernung (km) einfach]]&gt;2000,Tabelle24[[#This Row],[Entfernung (km) einfach]]&lt;5000),Tabelle24[[#This Row],[Entfernung (km) gesamt]], 0), 0)*Tabelle24[[#This Row],[Anzahl Studierende ]]</f>
        <v>0</v>
      </c>
      <c r="R29" s="40">
        <f>IF(Tabelle24[[#This Row],[Verkehrsmittel]]="Flug", IF(AND(Tabelle24[[#This Row],[Entfernung (km) einfach]]&gt;5000,Tabelle24[[#This Row],[Entfernung (km) einfach]]&lt;10000),Tabelle24[[#This Row],[Entfernung (km) gesamt]], 0), 0)*Tabelle24[[#This Row],[Anzahl Studierende ]]</f>
        <v>0</v>
      </c>
      <c r="S29" s="40">
        <f>IF(Tabelle24[[#This Row],[Verkehrsmittel]]="Flug", IF(AND(Tabelle24[[#This Row],[Entfernung (km) einfach]]&gt;10000),Tabelle24[[#This Row],[Entfernung (km) gesamt]]), 0)*Tabelle24[[#This Row],[Anzahl Studierende ]]</f>
        <v>0</v>
      </c>
      <c r="T29" s="40">
        <f>IF(Tabelle24[[#This Row],[Verkehrsmittel]]="Motorrad",Tabelle24[[#This Row],[Entfernung (km) gesamt]],0)*Tabelle24[[#This Row],[Anzahl Studierende ]]</f>
        <v>0</v>
      </c>
      <c r="U29" s="40">
        <f>IF(Tabelle24[[#This Row],[Verkehrsmittel]]="Straßen-, S-, U-Bahn",Tabelle24[[#This Row],[Entfernung (km) gesamt]],0)*Tabelle24[[#This Row],[Anzahl Studierende ]]</f>
        <v>0</v>
      </c>
      <c r="V29" s="40">
        <f>IF(Tabelle24[[#This Row],[Verkehrsmittel]]="Fahrrad",Tabelle24[[#This Row],[Entfernung (km) gesamt]],0)*Tabelle24[[#This Row],[Anzahl Studierende ]]</f>
        <v>0</v>
      </c>
    </row>
    <row r="30" spans="1:22" s="9" customFormat="1">
      <c r="A30"/>
      <c r="B30" s="126"/>
      <c r="C30" s="127"/>
      <c r="D30" s="128"/>
      <c r="E30" s="128"/>
      <c r="F30" s="128"/>
      <c r="G30" s="128"/>
      <c r="H30" s="130">
        <f>Tabelle24[[#This Row],[Entfernung (km) einfach]]*2</f>
        <v>0</v>
      </c>
      <c r="I30" s="128"/>
      <c r="J30" s="129"/>
      <c r="K30" s="40">
        <f>IF(Tabelle24[[#This Row],[Verkehrsmittel]]="Bus",Tabelle24[[#This Row],[Entfernung (km) gesamt]],0)*Tabelle24[[#This Row],[Anzahl Studierende ]]</f>
        <v>0</v>
      </c>
      <c r="L30" s="40">
        <f>IF(Tabelle24[[#This Row],[Verkehrsmittel]]="Bahn",Tabelle24[[#This Row],[Anzahl Studierende ]]*Tabelle24[[#This Row],[Entfernung (km) gesamt]],0)</f>
        <v>0</v>
      </c>
      <c r="M30" s="40">
        <f>IF(Tabelle24[[#This Row],[Verkehrsmittel]]="PKW",Tabelle24[[#This Row],[Anzahl Studierende ]]*Tabelle24[[#This Row],[Entfernung (km) gesamt]],0)</f>
        <v>0</v>
      </c>
      <c r="N30" s="40">
        <f>IF(Tabelle24[[#This Row],[Verkehrsmittel]]="Flug", IF(AND(Tabelle24[[#This Row],[Entfernung (km) einfach]]&lt;500),Tabelle24[[#This Row],[Entfernung (km) gesamt]]), 0)*Tabelle24[[#This Row],[Anzahl Studierende ]]</f>
        <v>0</v>
      </c>
      <c r="O30" s="40">
        <f>IF(Tabelle24[[#This Row],[Verkehrsmittel]]="Flug", IF(AND(Tabelle24[[#This Row],[Entfernung (km) einfach]]&gt;500,Tabelle24[[#This Row],[Entfernung (km) einfach]]&lt;1000),Tabelle24[[#This Row],[Entfernung (km) gesamt]], 0), 0)*Tabelle24[[#This Row],[Anzahl Studierende ]]</f>
        <v>0</v>
      </c>
      <c r="P30" s="40">
        <f>IF(Tabelle24[[#This Row],[Verkehrsmittel]]="Flug", IF(AND(Tabelle24[[#This Row],[Entfernung (km) einfach]]&gt;1000,Tabelle24[[#This Row],[Entfernung (km) einfach]]&lt;2000),Tabelle24[[#This Row],[Entfernung (km) gesamt]], 0), 0)*Tabelle24[[#This Row],[Anzahl Studierende ]]</f>
        <v>0</v>
      </c>
      <c r="Q30" s="40">
        <f>IF(Tabelle24[[#This Row],[Verkehrsmittel]]="Flug", IF(AND(Tabelle24[[#This Row],[Entfernung (km) einfach]]&gt;2000,Tabelle24[[#This Row],[Entfernung (km) einfach]]&lt;5000),Tabelle24[[#This Row],[Entfernung (km) gesamt]], 0), 0)*Tabelle24[[#This Row],[Anzahl Studierende ]]</f>
        <v>0</v>
      </c>
      <c r="R30" s="40">
        <f>IF(Tabelle24[[#This Row],[Verkehrsmittel]]="Flug", IF(AND(Tabelle24[[#This Row],[Entfernung (km) einfach]]&gt;5000,Tabelle24[[#This Row],[Entfernung (km) einfach]]&lt;10000),Tabelle24[[#This Row],[Entfernung (km) gesamt]], 0), 0)*Tabelle24[[#This Row],[Anzahl Studierende ]]</f>
        <v>0</v>
      </c>
      <c r="S30" s="40">
        <f>IF(Tabelle24[[#This Row],[Verkehrsmittel]]="Flug", IF(AND(Tabelle24[[#This Row],[Entfernung (km) einfach]]&gt;10000),Tabelle24[[#This Row],[Entfernung (km) gesamt]]), 0)*Tabelle24[[#This Row],[Anzahl Studierende ]]</f>
        <v>0</v>
      </c>
      <c r="T30" s="40">
        <f>IF(Tabelle24[[#This Row],[Verkehrsmittel]]="Motorrad",Tabelle24[[#This Row],[Entfernung (km) gesamt]],0)*Tabelle24[[#This Row],[Anzahl Studierende ]]</f>
        <v>0</v>
      </c>
      <c r="U30" s="40">
        <f>IF(Tabelle24[[#This Row],[Verkehrsmittel]]="Straßen-, S-, U-Bahn",Tabelle24[[#This Row],[Entfernung (km) gesamt]],0)*Tabelle24[[#This Row],[Anzahl Studierende ]]</f>
        <v>0</v>
      </c>
      <c r="V30" s="40">
        <f>IF(Tabelle24[[#This Row],[Verkehrsmittel]]="Fahrrad",Tabelle24[[#This Row],[Entfernung (km) gesamt]],0)*Tabelle24[[#This Row],[Anzahl Studierende ]]</f>
        <v>0</v>
      </c>
    </row>
    <row r="31" spans="1:22" s="9" customFormat="1">
      <c r="A31"/>
      <c r="B31" s="126"/>
      <c r="C31" s="127"/>
      <c r="D31" s="128"/>
      <c r="E31" s="128"/>
      <c r="F31" s="128"/>
      <c r="G31" s="128"/>
      <c r="H31" s="130">
        <f>Tabelle24[[#This Row],[Entfernung (km) einfach]]*2</f>
        <v>0</v>
      </c>
      <c r="I31" s="128"/>
      <c r="J31" s="129"/>
      <c r="K31" s="40">
        <f>IF(Tabelle24[[#This Row],[Verkehrsmittel]]="Bus",Tabelle24[[#This Row],[Entfernung (km) gesamt]],0)*Tabelle24[[#This Row],[Anzahl Studierende ]]</f>
        <v>0</v>
      </c>
      <c r="L31" s="40">
        <f>IF(Tabelle24[[#This Row],[Verkehrsmittel]]="Bahn",Tabelle24[[#This Row],[Anzahl Studierende ]]*Tabelle24[[#This Row],[Entfernung (km) gesamt]],0)</f>
        <v>0</v>
      </c>
      <c r="M31" s="40">
        <f>IF(Tabelle24[[#This Row],[Verkehrsmittel]]="PKW",Tabelle24[[#This Row],[Anzahl Studierende ]]*Tabelle24[[#This Row],[Entfernung (km) gesamt]],0)</f>
        <v>0</v>
      </c>
      <c r="N31" s="40">
        <f>IF(Tabelle24[[#This Row],[Verkehrsmittel]]="Flug", IF(AND(Tabelle24[[#This Row],[Entfernung (km) einfach]]&lt;500),Tabelle24[[#This Row],[Entfernung (km) gesamt]]), 0)*Tabelle24[[#This Row],[Anzahl Studierende ]]</f>
        <v>0</v>
      </c>
      <c r="O31" s="40">
        <f>IF(Tabelle24[[#This Row],[Verkehrsmittel]]="Flug", IF(AND(Tabelle24[[#This Row],[Entfernung (km) einfach]]&gt;500,Tabelle24[[#This Row],[Entfernung (km) einfach]]&lt;1000),Tabelle24[[#This Row],[Entfernung (km) gesamt]], 0), 0)*Tabelle24[[#This Row],[Anzahl Studierende ]]</f>
        <v>0</v>
      </c>
      <c r="P31" s="40">
        <f>IF(Tabelle24[[#This Row],[Verkehrsmittel]]="Flug", IF(AND(Tabelle24[[#This Row],[Entfernung (km) einfach]]&gt;1000,Tabelle24[[#This Row],[Entfernung (km) einfach]]&lt;2000),Tabelle24[[#This Row],[Entfernung (km) gesamt]], 0), 0)*Tabelle24[[#This Row],[Anzahl Studierende ]]</f>
        <v>0</v>
      </c>
      <c r="Q31" s="40">
        <f>IF(Tabelle24[[#This Row],[Verkehrsmittel]]="Flug", IF(AND(Tabelle24[[#This Row],[Entfernung (km) einfach]]&gt;2000,Tabelle24[[#This Row],[Entfernung (km) einfach]]&lt;5000),Tabelle24[[#This Row],[Entfernung (km) gesamt]], 0), 0)*Tabelle24[[#This Row],[Anzahl Studierende ]]</f>
        <v>0</v>
      </c>
      <c r="R31" s="40">
        <f>IF(Tabelle24[[#This Row],[Verkehrsmittel]]="Flug", IF(AND(Tabelle24[[#This Row],[Entfernung (km) einfach]]&gt;5000,Tabelle24[[#This Row],[Entfernung (km) einfach]]&lt;10000),Tabelle24[[#This Row],[Entfernung (km) gesamt]], 0), 0)*Tabelle24[[#This Row],[Anzahl Studierende ]]</f>
        <v>0</v>
      </c>
      <c r="S31" s="40">
        <f>IF(Tabelle24[[#This Row],[Verkehrsmittel]]="Flug", IF(AND(Tabelle24[[#This Row],[Entfernung (km) einfach]]&gt;10000),Tabelle24[[#This Row],[Entfernung (km) gesamt]]), 0)*Tabelle24[[#This Row],[Anzahl Studierende ]]</f>
        <v>0</v>
      </c>
      <c r="T31" s="40">
        <f>IF(Tabelle24[[#This Row],[Verkehrsmittel]]="Motorrad",Tabelle24[[#This Row],[Entfernung (km) gesamt]],0)*Tabelle24[[#This Row],[Anzahl Studierende ]]</f>
        <v>0</v>
      </c>
      <c r="U31" s="40">
        <f>IF(Tabelle24[[#This Row],[Verkehrsmittel]]="Straßen-, S-, U-Bahn",Tabelle24[[#This Row],[Entfernung (km) gesamt]],0)*Tabelle24[[#This Row],[Anzahl Studierende ]]</f>
        <v>0</v>
      </c>
      <c r="V31" s="40">
        <f>IF(Tabelle24[[#This Row],[Verkehrsmittel]]="Fahrrad",Tabelle24[[#This Row],[Entfernung (km) gesamt]],0)*Tabelle24[[#This Row],[Anzahl Studierende ]]</f>
        <v>0</v>
      </c>
    </row>
    <row r="32" spans="1:22" s="9" customFormat="1">
      <c r="A32"/>
      <c r="B32" s="126"/>
      <c r="C32" s="127"/>
      <c r="D32" s="128"/>
      <c r="E32" s="128"/>
      <c r="F32" s="128"/>
      <c r="G32" s="128"/>
      <c r="H32" s="130">
        <f>Tabelle24[[#This Row],[Entfernung (km) einfach]]*2</f>
        <v>0</v>
      </c>
      <c r="I32" s="128"/>
      <c r="J32" s="129"/>
      <c r="K32" s="40">
        <f>IF(Tabelle24[[#This Row],[Verkehrsmittel]]="Bus",Tabelle24[[#This Row],[Entfernung (km) gesamt]],0)*Tabelle24[[#This Row],[Anzahl Studierende ]]</f>
        <v>0</v>
      </c>
      <c r="L32" s="40">
        <f>IF(Tabelle24[[#This Row],[Verkehrsmittel]]="Bahn",Tabelle24[[#This Row],[Anzahl Studierende ]]*Tabelle24[[#This Row],[Entfernung (km) gesamt]],0)</f>
        <v>0</v>
      </c>
      <c r="M32" s="40">
        <f>IF(Tabelle24[[#This Row],[Verkehrsmittel]]="PKW",Tabelle24[[#This Row],[Anzahl Studierende ]]*Tabelle24[[#This Row],[Entfernung (km) gesamt]],0)</f>
        <v>0</v>
      </c>
      <c r="N32" s="40">
        <f>IF(Tabelle24[[#This Row],[Verkehrsmittel]]="Flug", IF(AND(Tabelle24[[#This Row],[Entfernung (km) einfach]]&lt;500),Tabelle24[[#This Row],[Entfernung (km) gesamt]]), 0)*Tabelle24[[#This Row],[Anzahl Studierende ]]</f>
        <v>0</v>
      </c>
      <c r="O32" s="40">
        <f>IF(Tabelle24[[#This Row],[Verkehrsmittel]]="Flug", IF(AND(Tabelle24[[#This Row],[Entfernung (km) einfach]]&gt;500,Tabelle24[[#This Row],[Entfernung (km) einfach]]&lt;1000),Tabelle24[[#This Row],[Entfernung (km) gesamt]], 0), 0)*Tabelle24[[#This Row],[Anzahl Studierende ]]</f>
        <v>0</v>
      </c>
      <c r="P32" s="40">
        <f>IF(Tabelle24[[#This Row],[Verkehrsmittel]]="Flug", IF(AND(Tabelle24[[#This Row],[Entfernung (km) einfach]]&gt;1000,Tabelle24[[#This Row],[Entfernung (km) einfach]]&lt;2000),Tabelle24[[#This Row],[Entfernung (km) gesamt]], 0), 0)*Tabelle24[[#This Row],[Anzahl Studierende ]]</f>
        <v>0</v>
      </c>
      <c r="Q32" s="40">
        <f>IF(Tabelle24[[#This Row],[Verkehrsmittel]]="Flug", IF(AND(Tabelle24[[#This Row],[Entfernung (km) einfach]]&gt;2000,Tabelle24[[#This Row],[Entfernung (km) einfach]]&lt;5000),Tabelle24[[#This Row],[Entfernung (km) gesamt]], 0), 0)*Tabelle24[[#This Row],[Anzahl Studierende ]]</f>
        <v>0</v>
      </c>
      <c r="R32" s="40">
        <f>IF(Tabelle24[[#This Row],[Verkehrsmittel]]="Flug", IF(AND(Tabelle24[[#This Row],[Entfernung (km) einfach]]&gt;5000,Tabelle24[[#This Row],[Entfernung (km) einfach]]&lt;10000),Tabelle24[[#This Row],[Entfernung (km) gesamt]], 0), 0)*Tabelle24[[#This Row],[Anzahl Studierende ]]</f>
        <v>0</v>
      </c>
      <c r="S32" s="40">
        <f>IF(Tabelle24[[#This Row],[Verkehrsmittel]]="Flug", IF(AND(Tabelle24[[#This Row],[Entfernung (km) einfach]]&gt;10000),Tabelle24[[#This Row],[Entfernung (km) gesamt]]), 0)*Tabelle24[[#This Row],[Anzahl Studierende ]]</f>
        <v>0</v>
      </c>
      <c r="T32" s="40">
        <f>IF(Tabelle24[[#This Row],[Verkehrsmittel]]="Motorrad",Tabelle24[[#This Row],[Entfernung (km) gesamt]],0)*Tabelle24[[#This Row],[Anzahl Studierende ]]</f>
        <v>0</v>
      </c>
      <c r="U32" s="40">
        <f>IF(Tabelle24[[#This Row],[Verkehrsmittel]]="Straßen-, S-, U-Bahn",Tabelle24[[#This Row],[Entfernung (km) gesamt]],0)*Tabelle24[[#This Row],[Anzahl Studierende ]]</f>
        <v>0</v>
      </c>
      <c r="V32" s="40">
        <f>IF(Tabelle24[[#This Row],[Verkehrsmittel]]="Fahrrad",Tabelle24[[#This Row],[Entfernung (km) gesamt]],0)*Tabelle24[[#This Row],[Anzahl Studierende ]]</f>
        <v>0</v>
      </c>
    </row>
    <row r="33" spans="1:22" s="9" customFormat="1">
      <c r="A33"/>
      <c r="B33" s="126"/>
      <c r="C33" s="127"/>
      <c r="D33" s="128"/>
      <c r="E33" s="128"/>
      <c r="F33" s="128"/>
      <c r="G33" s="128"/>
      <c r="H33" s="130">
        <f>Tabelle24[[#This Row],[Entfernung (km) einfach]]*2</f>
        <v>0</v>
      </c>
      <c r="I33" s="128"/>
      <c r="J33" s="129"/>
      <c r="K33" s="40">
        <f>IF(Tabelle24[[#This Row],[Verkehrsmittel]]="Bus",Tabelle24[[#This Row],[Entfernung (km) gesamt]],0)*Tabelle24[[#This Row],[Anzahl Studierende ]]</f>
        <v>0</v>
      </c>
      <c r="L33" s="40">
        <f>IF(Tabelle24[[#This Row],[Verkehrsmittel]]="Bahn",Tabelle24[[#This Row],[Anzahl Studierende ]]*Tabelle24[[#This Row],[Entfernung (km) gesamt]],0)</f>
        <v>0</v>
      </c>
      <c r="M33" s="40">
        <f>IF(Tabelle24[[#This Row],[Verkehrsmittel]]="PKW",Tabelle24[[#This Row],[Anzahl Studierende ]]*Tabelle24[[#This Row],[Entfernung (km) gesamt]],0)</f>
        <v>0</v>
      </c>
      <c r="N33" s="40">
        <f>IF(Tabelle24[[#This Row],[Verkehrsmittel]]="Flug", IF(AND(Tabelle24[[#This Row],[Entfernung (km) einfach]]&lt;500),Tabelle24[[#This Row],[Entfernung (km) gesamt]]), 0)*Tabelle24[[#This Row],[Anzahl Studierende ]]</f>
        <v>0</v>
      </c>
      <c r="O33" s="40">
        <f>IF(Tabelle24[[#This Row],[Verkehrsmittel]]="Flug", IF(AND(Tabelle24[[#This Row],[Entfernung (km) einfach]]&gt;500,Tabelle24[[#This Row],[Entfernung (km) einfach]]&lt;1000),Tabelle24[[#This Row],[Entfernung (km) gesamt]], 0), 0)*Tabelle24[[#This Row],[Anzahl Studierende ]]</f>
        <v>0</v>
      </c>
      <c r="P33" s="40">
        <f>IF(Tabelle24[[#This Row],[Verkehrsmittel]]="Flug", IF(AND(Tabelle24[[#This Row],[Entfernung (km) einfach]]&gt;1000,Tabelle24[[#This Row],[Entfernung (km) einfach]]&lt;2000),Tabelle24[[#This Row],[Entfernung (km) gesamt]], 0), 0)*Tabelle24[[#This Row],[Anzahl Studierende ]]</f>
        <v>0</v>
      </c>
      <c r="Q33" s="40">
        <f>IF(Tabelle24[[#This Row],[Verkehrsmittel]]="Flug", IF(AND(Tabelle24[[#This Row],[Entfernung (km) einfach]]&gt;2000,Tabelle24[[#This Row],[Entfernung (km) einfach]]&lt;5000),Tabelle24[[#This Row],[Entfernung (km) gesamt]], 0), 0)*Tabelle24[[#This Row],[Anzahl Studierende ]]</f>
        <v>0</v>
      </c>
      <c r="R33" s="40">
        <f>IF(Tabelle24[[#This Row],[Verkehrsmittel]]="Flug", IF(AND(Tabelle24[[#This Row],[Entfernung (km) einfach]]&gt;5000,Tabelle24[[#This Row],[Entfernung (km) einfach]]&lt;10000),Tabelle24[[#This Row],[Entfernung (km) gesamt]], 0), 0)*Tabelle24[[#This Row],[Anzahl Studierende ]]</f>
        <v>0</v>
      </c>
      <c r="S33" s="40">
        <f>IF(Tabelle24[[#This Row],[Verkehrsmittel]]="Flug", IF(AND(Tabelle24[[#This Row],[Entfernung (km) einfach]]&gt;10000),Tabelle24[[#This Row],[Entfernung (km) gesamt]]), 0)*Tabelle24[[#This Row],[Anzahl Studierende ]]</f>
        <v>0</v>
      </c>
      <c r="T33" s="40">
        <f>IF(Tabelle24[[#This Row],[Verkehrsmittel]]="Motorrad",Tabelle24[[#This Row],[Entfernung (km) gesamt]],0)*Tabelle24[[#This Row],[Anzahl Studierende ]]</f>
        <v>0</v>
      </c>
      <c r="U33" s="40">
        <f>IF(Tabelle24[[#This Row],[Verkehrsmittel]]="Straßen-, S-, U-Bahn",Tabelle24[[#This Row],[Entfernung (km) gesamt]],0)*Tabelle24[[#This Row],[Anzahl Studierende ]]</f>
        <v>0</v>
      </c>
      <c r="V33" s="40">
        <f>IF(Tabelle24[[#This Row],[Verkehrsmittel]]="Fahrrad",Tabelle24[[#This Row],[Entfernung (km) gesamt]],0)*Tabelle24[[#This Row],[Anzahl Studierende ]]</f>
        <v>0</v>
      </c>
    </row>
    <row r="34" spans="1:22" s="9" customFormat="1">
      <c r="A34"/>
      <c r="B34" s="126"/>
      <c r="C34" s="127"/>
      <c r="D34" s="128"/>
      <c r="E34" s="128"/>
      <c r="F34" s="128"/>
      <c r="G34" s="128"/>
      <c r="H34" s="130">
        <f>Tabelle24[[#This Row],[Entfernung (km) einfach]]*2</f>
        <v>0</v>
      </c>
      <c r="I34" s="128"/>
      <c r="J34" s="129"/>
      <c r="K34" s="40">
        <f>IF(Tabelle24[[#This Row],[Verkehrsmittel]]="Bus",Tabelle24[[#This Row],[Entfernung (km) gesamt]],0)*Tabelle24[[#This Row],[Anzahl Studierende ]]</f>
        <v>0</v>
      </c>
      <c r="L34" s="40">
        <f>IF(Tabelle24[[#This Row],[Verkehrsmittel]]="Bahn",Tabelle24[[#This Row],[Anzahl Studierende ]]*Tabelle24[[#This Row],[Entfernung (km) gesamt]],0)</f>
        <v>0</v>
      </c>
      <c r="M34" s="40">
        <f>IF(Tabelle24[[#This Row],[Verkehrsmittel]]="PKW",Tabelle24[[#This Row],[Anzahl Studierende ]]*Tabelle24[[#This Row],[Entfernung (km) gesamt]],0)</f>
        <v>0</v>
      </c>
      <c r="N34" s="40">
        <f>IF(Tabelle24[[#This Row],[Verkehrsmittel]]="Flug", IF(AND(Tabelle24[[#This Row],[Entfernung (km) einfach]]&lt;500),Tabelle24[[#This Row],[Entfernung (km) gesamt]]), 0)*Tabelle24[[#This Row],[Anzahl Studierende ]]</f>
        <v>0</v>
      </c>
      <c r="O34" s="40">
        <f>IF(Tabelle24[[#This Row],[Verkehrsmittel]]="Flug", IF(AND(Tabelle24[[#This Row],[Entfernung (km) einfach]]&gt;500,Tabelle24[[#This Row],[Entfernung (km) einfach]]&lt;1000),Tabelle24[[#This Row],[Entfernung (km) gesamt]], 0), 0)*Tabelle24[[#This Row],[Anzahl Studierende ]]</f>
        <v>0</v>
      </c>
      <c r="P34" s="40">
        <f>IF(Tabelle24[[#This Row],[Verkehrsmittel]]="Flug", IF(AND(Tabelle24[[#This Row],[Entfernung (km) einfach]]&gt;1000,Tabelle24[[#This Row],[Entfernung (km) einfach]]&lt;2000),Tabelle24[[#This Row],[Entfernung (km) gesamt]], 0), 0)*Tabelle24[[#This Row],[Anzahl Studierende ]]</f>
        <v>0</v>
      </c>
      <c r="Q34" s="40">
        <f>IF(Tabelle24[[#This Row],[Verkehrsmittel]]="Flug", IF(AND(Tabelle24[[#This Row],[Entfernung (km) einfach]]&gt;2000,Tabelle24[[#This Row],[Entfernung (km) einfach]]&lt;5000),Tabelle24[[#This Row],[Entfernung (km) gesamt]], 0), 0)*Tabelle24[[#This Row],[Anzahl Studierende ]]</f>
        <v>0</v>
      </c>
      <c r="R34" s="40">
        <f>IF(Tabelle24[[#This Row],[Verkehrsmittel]]="Flug", IF(AND(Tabelle24[[#This Row],[Entfernung (km) einfach]]&gt;5000,Tabelle24[[#This Row],[Entfernung (km) einfach]]&lt;10000),Tabelle24[[#This Row],[Entfernung (km) gesamt]], 0), 0)*Tabelle24[[#This Row],[Anzahl Studierende ]]</f>
        <v>0</v>
      </c>
      <c r="S34" s="40">
        <f>IF(Tabelle24[[#This Row],[Verkehrsmittel]]="Flug", IF(AND(Tabelle24[[#This Row],[Entfernung (km) einfach]]&gt;10000),Tabelle24[[#This Row],[Entfernung (km) gesamt]]), 0)*Tabelle24[[#This Row],[Anzahl Studierende ]]</f>
        <v>0</v>
      </c>
      <c r="T34" s="40">
        <f>IF(Tabelle24[[#This Row],[Verkehrsmittel]]="Motorrad",Tabelle24[[#This Row],[Entfernung (km) gesamt]],0)*Tabelle24[[#This Row],[Anzahl Studierende ]]</f>
        <v>0</v>
      </c>
      <c r="U34" s="40">
        <f>IF(Tabelle24[[#This Row],[Verkehrsmittel]]="Straßen-, S-, U-Bahn",Tabelle24[[#This Row],[Entfernung (km) gesamt]],0)*Tabelle24[[#This Row],[Anzahl Studierende ]]</f>
        <v>0</v>
      </c>
      <c r="V34" s="40">
        <f>IF(Tabelle24[[#This Row],[Verkehrsmittel]]="Fahrrad",Tabelle24[[#This Row],[Entfernung (km) gesamt]],0)*Tabelle24[[#This Row],[Anzahl Studierende ]]</f>
        <v>0</v>
      </c>
    </row>
    <row r="35" spans="1:22" s="9" customFormat="1">
      <c r="A35"/>
      <c r="B35" s="126"/>
      <c r="C35" s="127"/>
      <c r="D35" s="128"/>
      <c r="E35" s="128"/>
      <c r="F35" s="128"/>
      <c r="G35" s="128"/>
      <c r="H35" s="130">
        <f>Tabelle24[[#This Row],[Entfernung (km) einfach]]*2</f>
        <v>0</v>
      </c>
      <c r="I35" s="128"/>
      <c r="J35" s="129"/>
      <c r="K35" s="40">
        <f>IF(Tabelle24[[#This Row],[Verkehrsmittel]]="Bus",Tabelle24[[#This Row],[Entfernung (km) gesamt]],0)*Tabelle24[[#This Row],[Anzahl Studierende ]]</f>
        <v>0</v>
      </c>
      <c r="L35" s="40">
        <f>IF(Tabelle24[[#This Row],[Verkehrsmittel]]="Bahn",Tabelle24[[#This Row],[Anzahl Studierende ]]*Tabelle24[[#This Row],[Entfernung (km) gesamt]],0)</f>
        <v>0</v>
      </c>
      <c r="M35" s="40">
        <f>IF(Tabelle24[[#This Row],[Verkehrsmittel]]="PKW",Tabelle24[[#This Row],[Anzahl Studierende ]]*Tabelle24[[#This Row],[Entfernung (km) gesamt]],0)</f>
        <v>0</v>
      </c>
      <c r="N35" s="40">
        <f>IF(Tabelle24[[#This Row],[Verkehrsmittel]]="Flug", IF(AND(Tabelle24[[#This Row],[Entfernung (km) einfach]]&lt;500),Tabelle24[[#This Row],[Entfernung (km) gesamt]]), 0)*Tabelle24[[#This Row],[Anzahl Studierende ]]</f>
        <v>0</v>
      </c>
      <c r="O35" s="40">
        <f>IF(Tabelle24[[#This Row],[Verkehrsmittel]]="Flug", IF(AND(Tabelle24[[#This Row],[Entfernung (km) einfach]]&gt;500,Tabelle24[[#This Row],[Entfernung (km) einfach]]&lt;1000),Tabelle24[[#This Row],[Entfernung (km) gesamt]], 0), 0)*Tabelle24[[#This Row],[Anzahl Studierende ]]</f>
        <v>0</v>
      </c>
      <c r="P35" s="40">
        <f>IF(Tabelle24[[#This Row],[Verkehrsmittel]]="Flug", IF(AND(Tabelle24[[#This Row],[Entfernung (km) einfach]]&gt;1000,Tabelle24[[#This Row],[Entfernung (km) einfach]]&lt;2000),Tabelle24[[#This Row],[Entfernung (km) gesamt]], 0), 0)*Tabelle24[[#This Row],[Anzahl Studierende ]]</f>
        <v>0</v>
      </c>
      <c r="Q35" s="40">
        <f>IF(Tabelle24[[#This Row],[Verkehrsmittel]]="Flug", IF(AND(Tabelle24[[#This Row],[Entfernung (km) einfach]]&gt;2000,Tabelle24[[#This Row],[Entfernung (km) einfach]]&lt;5000),Tabelle24[[#This Row],[Entfernung (km) gesamt]], 0), 0)*Tabelle24[[#This Row],[Anzahl Studierende ]]</f>
        <v>0</v>
      </c>
      <c r="R35" s="40">
        <f>IF(Tabelle24[[#This Row],[Verkehrsmittel]]="Flug", IF(AND(Tabelle24[[#This Row],[Entfernung (km) einfach]]&gt;5000,Tabelle24[[#This Row],[Entfernung (km) einfach]]&lt;10000),Tabelle24[[#This Row],[Entfernung (km) gesamt]], 0), 0)*Tabelle24[[#This Row],[Anzahl Studierende ]]</f>
        <v>0</v>
      </c>
      <c r="S35" s="40">
        <f>IF(Tabelle24[[#This Row],[Verkehrsmittel]]="Flug", IF(AND(Tabelle24[[#This Row],[Entfernung (km) einfach]]&gt;10000),Tabelle24[[#This Row],[Entfernung (km) gesamt]]), 0)*Tabelle24[[#This Row],[Anzahl Studierende ]]</f>
        <v>0</v>
      </c>
      <c r="T35" s="40">
        <f>IF(Tabelle24[[#This Row],[Verkehrsmittel]]="Motorrad",Tabelle24[[#This Row],[Entfernung (km) gesamt]],0)*Tabelle24[[#This Row],[Anzahl Studierende ]]</f>
        <v>0</v>
      </c>
      <c r="U35" s="40">
        <f>IF(Tabelle24[[#This Row],[Verkehrsmittel]]="Straßen-, S-, U-Bahn",Tabelle24[[#This Row],[Entfernung (km) gesamt]],0)*Tabelle24[[#This Row],[Anzahl Studierende ]]</f>
        <v>0</v>
      </c>
      <c r="V35" s="40">
        <f>IF(Tabelle24[[#This Row],[Verkehrsmittel]]="Fahrrad",Tabelle24[[#This Row],[Entfernung (km) gesamt]],0)*Tabelle24[[#This Row],[Anzahl Studierende ]]</f>
        <v>0</v>
      </c>
    </row>
    <row r="36" spans="1:22" s="9" customFormat="1">
      <c r="A36"/>
      <c r="B36" s="126"/>
      <c r="C36" s="127"/>
      <c r="D36" s="128"/>
      <c r="E36" s="128"/>
      <c r="F36" s="128"/>
      <c r="G36" s="128"/>
      <c r="H36" s="130">
        <f>Tabelle24[[#This Row],[Entfernung (km) einfach]]*2</f>
        <v>0</v>
      </c>
      <c r="I36" s="128"/>
      <c r="J36" s="129"/>
      <c r="K36" s="40">
        <f>IF(Tabelle24[[#This Row],[Verkehrsmittel]]="Bus",Tabelle24[[#This Row],[Entfernung (km) gesamt]],0)*Tabelle24[[#This Row],[Anzahl Studierende ]]</f>
        <v>0</v>
      </c>
      <c r="L36" s="40">
        <f>IF(Tabelle24[[#This Row],[Verkehrsmittel]]="Bahn",Tabelle24[[#This Row],[Anzahl Studierende ]]*Tabelle24[[#This Row],[Entfernung (km) gesamt]],0)</f>
        <v>0</v>
      </c>
      <c r="M36" s="40">
        <f>IF(Tabelle24[[#This Row],[Verkehrsmittel]]="PKW",Tabelle24[[#This Row],[Anzahl Studierende ]]*Tabelle24[[#This Row],[Entfernung (km) gesamt]],0)</f>
        <v>0</v>
      </c>
      <c r="N36" s="40">
        <f>IF(Tabelle24[[#This Row],[Verkehrsmittel]]="Flug", IF(AND(Tabelle24[[#This Row],[Entfernung (km) einfach]]&lt;500),Tabelle24[[#This Row],[Entfernung (km) gesamt]]), 0)*Tabelle24[[#This Row],[Anzahl Studierende ]]</f>
        <v>0</v>
      </c>
      <c r="O36" s="40">
        <f>IF(Tabelle24[[#This Row],[Verkehrsmittel]]="Flug", IF(AND(Tabelle24[[#This Row],[Entfernung (km) einfach]]&gt;500,Tabelle24[[#This Row],[Entfernung (km) einfach]]&lt;1000),Tabelle24[[#This Row],[Entfernung (km) gesamt]], 0), 0)*Tabelle24[[#This Row],[Anzahl Studierende ]]</f>
        <v>0</v>
      </c>
      <c r="P36" s="40">
        <f>IF(Tabelle24[[#This Row],[Verkehrsmittel]]="Flug", IF(AND(Tabelle24[[#This Row],[Entfernung (km) einfach]]&gt;1000,Tabelle24[[#This Row],[Entfernung (km) einfach]]&lt;2000),Tabelle24[[#This Row],[Entfernung (km) gesamt]], 0), 0)*Tabelle24[[#This Row],[Anzahl Studierende ]]</f>
        <v>0</v>
      </c>
      <c r="Q36" s="40">
        <f>IF(Tabelle24[[#This Row],[Verkehrsmittel]]="Flug", IF(AND(Tabelle24[[#This Row],[Entfernung (km) einfach]]&gt;2000,Tabelle24[[#This Row],[Entfernung (km) einfach]]&lt;5000),Tabelle24[[#This Row],[Entfernung (km) gesamt]], 0), 0)*Tabelle24[[#This Row],[Anzahl Studierende ]]</f>
        <v>0</v>
      </c>
      <c r="R36" s="40">
        <f>IF(Tabelle24[[#This Row],[Verkehrsmittel]]="Flug", IF(AND(Tabelle24[[#This Row],[Entfernung (km) einfach]]&gt;5000,Tabelle24[[#This Row],[Entfernung (km) einfach]]&lt;10000),Tabelle24[[#This Row],[Entfernung (km) gesamt]], 0), 0)*Tabelle24[[#This Row],[Anzahl Studierende ]]</f>
        <v>0</v>
      </c>
      <c r="S36" s="40">
        <f>IF(Tabelle24[[#This Row],[Verkehrsmittel]]="Flug", IF(AND(Tabelle24[[#This Row],[Entfernung (km) einfach]]&gt;10000),Tabelle24[[#This Row],[Entfernung (km) gesamt]]), 0)*Tabelle24[[#This Row],[Anzahl Studierende ]]</f>
        <v>0</v>
      </c>
      <c r="T36" s="40">
        <f>IF(Tabelle24[[#This Row],[Verkehrsmittel]]="Motorrad",Tabelle24[[#This Row],[Entfernung (km) gesamt]],0)*Tabelle24[[#This Row],[Anzahl Studierende ]]</f>
        <v>0</v>
      </c>
      <c r="U36" s="40">
        <f>IF(Tabelle24[[#This Row],[Verkehrsmittel]]="Straßen-, S-, U-Bahn",Tabelle24[[#This Row],[Entfernung (km) gesamt]],0)*Tabelle24[[#This Row],[Anzahl Studierende ]]</f>
        <v>0</v>
      </c>
      <c r="V36" s="40">
        <f>IF(Tabelle24[[#This Row],[Verkehrsmittel]]="Fahrrad",Tabelle24[[#This Row],[Entfernung (km) gesamt]],0)*Tabelle24[[#This Row],[Anzahl Studierende ]]</f>
        <v>0</v>
      </c>
    </row>
    <row r="37" spans="1:22" s="9" customFormat="1">
      <c r="A37"/>
      <c r="B37" s="126"/>
      <c r="C37" s="127"/>
      <c r="D37" s="128"/>
      <c r="E37" s="128"/>
      <c r="F37" s="128"/>
      <c r="G37" s="128"/>
      <c r="H37" s="130">
        <f>Tabelle24[[#This Row],[Entfernung (km) einfach]]*2</f>
        <v>0</v>
      </c>
      <c r="I37" s="128"/>
      <c r="J37" s="129"/>
      <c r="K37" s="40">
        <f>IF(Tabelle24[[#This Row],[Verkehrsmittel]]="Bus",Tabelle24[[#This Row],[Entfernung (km) gesamt]],0)*Tabelle24[[#This Row],[Anzahl Studierende ]]</f>
        <v>0</v>
      </c>
      <c r="L37" s="40">
        <f>IF(Tabelle24[[#This Row],[Verkehrsmittel]]="Bahn",Tabelle24[[#This Row],[Anzahl Studierende ]]*Tabelle24[[#This Row],[Entfernung (km) gesamt]],0)</f>
        <v>0</v>
      </c>
      <c r="M37" s="40">
        <f>IF(Tabelle24[[#This Row],[Verkehrsmittel]]="PKW",Tabelle24[[#This Row],[Anzahl Studierende ]]*Tabelle24[[#This Row],[Entfernung (km) gesamt]],0)</f>
        <v>0</v>
      </c>
      <c r="N37" s="40">
        <f>IF(Tabelle24[[#This Row],[Verkehrsmittel]]="Flug", IF(AND(Tabelle24[[#This Row],[Entfernung (km) einfach]]&lt;500),Tabelle24[[#This Row],[Entfernung (km) gesamt]]), 0)*Tabelle24[[#This Row],[Anzahl Studierende ]]</f>
        <v>0</v>
      </c>
      <c r="O37" s="40">
        <f>IF(Tabelle24[[#This Row],[Verkehrsmittel]]="Flug", IF(AND(Tabelle24[[#This Row],[Entfernung (km) einfach]]&gt;500,Tabelle24[[#This Row],[Entfernung (km) einfach]]&lt;1000),Tabelle24[[#This Row],[Entfernung (km) gesamt]], 0), 0)*Tabelle24[[#This Row],[Anzahl Studierende ]]</f>
        <v>0</v>
      </c>
      <c r="P37" s="40">
        <f>IF(Tabelle24[[#This Row],[Verkehrsmittel]]="Flug", IF(AND(Tabelle24[[#This Row],[Entfernung (km) einfach]]&gt;1000,Tabelle24[[#This Row],[Entfernung (km) einfach]]&lt;2000),Tabelle24[[#This Row],[Entfernung (km) gesamt]], 0), 0)*Tabelle24[[#This Row],[Anzahl Studierende ]]</f>
        <v>0</v>
      </c>
      <c r="Q37" s="40">
        <f>IF(Tabelle24[[#This Row],[Verkehrsmittel]]="Flug", IF(AND(Tabelle24[[#This Row],[Entfernung (km) einfach]]&gt;2000,Tabelle24[[#This Row],[Entfernung (km) einfach]]&lt;5000),Tabelle24[[#This Row],[Entfernung (km) gesamt]], 0), 0)*Tabelle24[[#This Row],[Anzahl Studierende ]]</f>
        <v>0</v>
      </c>
      <c r="R37" s="40">
        <f>IF(Tabelle24[[#This Row],[Verkehrsmittel]]="Flug", IF(AND(Tabelle24[[#This Row],[Entfernung (km) einfach]]&gt;5000,Tabelle24[[#This Row],[Entfernung (km) einfach]]&lt;10000),Tabelle24[[#This Row],[Entfernung (km) gesamt]], 0), 0)*Tabelle24[[#This Row],[Anzahl Studierende ]]</f>
        <v>0</v>
      </c>
      <c r="S37" s="40">
        <f>IF(Tabelle24[[#This Row],[Verkehrsmittel]]="Flug", IF(AND(Tabelle24[[#This Row],[Entfernung (km) einfach]]&gt;10000),Tabelle24[[#This Row],[Entfernung (km) gesamt]]), 0)*Tabelle24[[#This Row],[Anzahl Studierende ]]</f>
        <v>0</v>
      </c>
      <c r="T37" s="40">
        <f>IF(Tabelle24[[#This Row],[Verkehrsmittel]]="Motorrad",Tabelle24[[#This Row],[Entfernung (km) gesamt]],0)*Tabelle24[[#This Row],[Anzahl Studierende ]]</f>
        <v>0</v>
      </c>
      <c r="U37" s="40">
        <f>IF(Tabelle24[[#This Row],[Verkehrsmittel]]="Straßen-, S-, U-Bahn",Tabelle24[[#This Row],[Entfernung (km) gesamt]],0)*Tabelle24[[#This Row],[Anzahl Studierende ]]</f>
        <v>0</v>
      </c>
      <c r="V37" s="40">
        <f>IF(Tabelle24[[#This Row],[Verkehrsmittel]]="Fahrrad",Tabelle24[[#This Row],[Entfernung (km) gesamt]],0)*Tabelle24[[#This Row],[Anzahl Studierende ]]</f>
        <v>0</v>
      </c>
    </row>
    <row r="38" spans="1:22" s="9" customFormat="1">
      <c r="A38"/>
      <c r="B38" s="126"/>
      <c r="C38" s="127"/>
      <c r="D38" s="128"/>
      <c r="E38" s="128"/>
      <c r="F38" s="128"/>
      <c r="G38" s="128"/>
      <c r="H38" s="130">
        <f>Tabelle24[[#This Row],[Entfernung (km) einfach]]*2</f>
        <v>0</v>
      </c>
      <c r="I38" s="128"/>
      <c r="J38" s="129"/>
      <c r="K38" s="40">
        <f>IF(Tabelle24[[#This Row],[Verkehrsmittel]]="Bus",Tabelle24[[#This Row],[Entfernung (km) gesamt]],0)*Tabelle24[[#This Row],[Anzahl Studierende ]]</f>
        <v>0</v>
      </c>
      <c r="L38" s="40">
        <f>IF(Tabelle24[[#This Row],[Verkehrsmittel]]="Bahn",Tabelle24[[#This Row],[Anzahl Studierende ]]*Tabelle24[[#This Row],[Entfernung (km) gesamt]],0)</f>
        <v>0</v>
      </c>
      <c r="M38" s="40">
        <f>IF(Tabelle24[[#This Row],[Verkehrsmittel]]="PKW",Tabelle24[[#This Row],[Anzahl Studierende ]]*Tabelle24[[#This Row],[Entfernung (km) gesamt]],0)</f>
        <v>0</v>
      </c>
      <c r="N38" s="40">
        <f>IF(Tabelle24[[#This Row],[Verkehrsmittel]]="Flug", IF(AND(Tabelle24[[#This Row],[Entfernung (km) einfach]]&lt;500),Tabelle24[[#This Row],[Entfernung (km) gesamt]]), 0)*Tabelle24[[#This Row],[Anzahl Studierende ]]</f>
        <v>0</v>
      </c>
      <c r="O38" s="40">
        <f>IF(Tabelle24[[#This Row],[Verkehrsmittel]]="Flug", IF(AND(Tabelle24[[#This Row],[Entfernung (km) einfach]]&gt;500,Tabelle24[[#This Row],[Entfernung (km) einfach]]&lt;1000),Tabelle24[[#This Row],[Entfernung (km) gesamt]], 0), 0)*Tabelle24[[#This Row],[Anzahl Studierende ]]</f>
        <v>0</v>
      </c>
      <c r="P38" s="40">
        <f>IF(Tabelle24[[#This Row],[Verkehrsmittel]]="Flug", IF(AND(Tabelle24[[#This Row],[Entfernung (km) einfach]]&gt;1000,Tabelle24[[#This Row],[Entfernung (km) einfach]]&lt;2000),Tabelle24[[#This Row],[Entfernung (km) gesamt]], 0), 0)*Tabelle24[[#This Row],[Anzahl Studierende ]]</f>
        <v>0</v>
      </c>
      <c r="Q38" s="40">
        <f>IF(Tabelle24[[#This Row],[Verkehrsmittel]]="Flug", IF(AND(Tabelle24[[#This Row],[Entfernung (km) einfach]]&gt;2000,Tabelle24[[#This Row],[Entfernung (km) einfach]]&lt;5000),Tabelle24[[#This Row],[Entfernung (km) gesamt]], 0), 0)*Tabelle24[[#This Row],[Anzahl Studierende ]]</f>
        <v>0</v>
      </c>
      <c r="R38" s="40">
        <f>IF(Tabelle24[[#This Row],[Verkehrsmittel]]="Flug", IF(AND(Tabelle24[[#This Row],[Entfernung (km) einfach]]&gt;5000,Tabelle24[[#This Row],[Entfernung (km) einfach]]&lt;10000),Tabelle24[[#This Row],[Entfernung (km) gesamt]], 0), 0)*Tabelle24[[#This Row],[Anzahl Studierende ]]</f>
        <v>0</v>
      </c>
      <c r="S38" s="40">
        <f>IF(Tabelle24[[#This Row],[Verkehrsmittel]]="Flug", IF(AND(Tabelle24[[#This Row],[Entfernung (km) einfach]]&gt;10000),Tabelle24[[#This Row],[Entfernung (km) gesamt]]), 0)*Tabelle24[[#This Row],[Anzahl Studierende ]]</f>
        <v>0</v>
      </c>
      <c r="T38" s="40">
        <f>IF(Tabelle24[[#This Row],[Verkehrsmittel]]="Motorrad",Tabelle24[[#This Row],[Entfernung (km) gesamt]],0)*Tabelle24[[#This Row],[Anzahl Studierende ]]</f>
        <v>0</v>
      </c>
      <c r="U38" s="40">
        <f>IF(Tabelle24[[#This Row],[Verkehrsmittel]]="Straßen-, S-, U-Bahn",Tabelle24[[#This Row],[Entfernung (km) gesamt]],0)*Tabelle24[[#This Row],[Anzahl Studierende ]]</f>
        <v>0</v>
      </c>
      <c r="V38" s="40">
        <f>IF(Tabelle24[[#This Row],[Verkehrsmittel]]="Fahrrad",Tabelle24[[#This Row],[Entfernung (km) gesamt]],0)*Tabelle24[[#This Row],[Anzahl Studierende ]]</f>
        <v>0</v>
      </c>
    </row>
    <row r="39" spans="1:22" s="9" customFormat="1" ht="14.4" thickBot="1">
      <c r="A39"/>
      <c r="B39" s="131"/>
      <c r="C39" s="132"/>
      <c r="D39" s="133"/>
      <c r="E39" s="133"/>
      <c r="F39" s="133"/>
      <c r="G39" s="133"/>
      <c r="H39" s="134">
        <f>Tabelle24[[#This Row],[Entfernung (km) einfach]]*2</f>
        <v>0</v>
      </c>
      <c r="I39" s="133"/>
      <c r="J39" s="135"/>
      <c r="K39" s="40">
        <f>IF(Tabelle24[[#This Row],[Verkehrsmittel]]="Bus",Tabelle24[[#This Row],[Entfernung (km) gesamt]],0)*Tabelle24[[#This Row],[Anzahl Studierende ]]</f>
        <v>0</v>
      </c>
      <c r="L39" s="40">
        <f>IF(Tabelle24[[#This Row],[Verkehrsmittel]]="Bahn",Tabelle24[[#This Row],[Anzahl Studierende ]]*Tabelle24[[#This Row],[Entfernung (km) gesamt]],0)</f>
        <v>0</v>
      </c>
      <c r="M39" s="40">
        <f>IF(Tabelle24[[#This Row],[Verkehrsmittel]]="PKW",Tabelle24[[#This Row],[Anzahl Studierende ]]*Tabelle24[[#This Row],[Entfernung (km) gesamt]],0)</f>
        <v>0</v>
      </c>
      <c r="N39" s="40">
        <f>IF(Tabelle24[[#This Row],[Verkehrsmittel]]="Flug", IF(AND(Tabelle24[[#This Row],[Entfernung (km) einfach]]&lt;500),Tabelle24[[#This Row],[Entfernung (km) gesamt]]), 0)*Tabelle24[[#This Row],[Anzahl Studierende ]]</f>
        <v>0</v>
      </c>
      <c r="O39" s="40">
        <f>IF(Tabelle24[[#This Row],[Verkehrsmittel]]="Flug", IF(AND(Tabelle24[[#This Row],[Entfernung (km) einfach]]&gt;500,Tabelle24[[#This Row],[Entfernung (km) einfach]]&lt;1000),Tabelle24[[#This Row],[Entfernung (km) gesamt]], 0), 0)*Tabelle24[[#This Row],[Anzahl Studierende ]]</f>
        <v>0</v>
      </c>
      <c r="P39" s="40">
        <f>IF(Tabelle24[[#This Row],[Verkehrsmittel]]="Flug", IF(AND(Tabelle24[[#This Row],[Entfernung (km) einfach]]&gt;1000,Tabelle24[[#This Row],[Entfernung (km) einfach]]&lt;2000),Tabelle24[[#This Row],[Entfernung (km) gesamt]], 0), 0)*Tabelle24[[#This Row],[Anzahl Studierende ]]</f>
        <v>0</v>
      </c>
      <c r="Q39" s="40">
        <f>IF(Tabelle24[[#This Row],[Verkehrsmittel]]="Flug", IF(AND(Tabelle24[[#This Row],[Entfernung (km) einfach]]&gt;2000,Tabelle24[[#This Row],[Entfernung (km) einfach]]&lt;5000),Tabelle24[[#This Row],[Entfernung (km) gesamt]], 0), 0)*Tabelle24[[#This Row],[Anzahl Studierende ]]</f>
        <v>0</v>
      </c>
      <c r="R39" s="40">
        <f>IF(Tabelle24[[#This Row],[Verkehrsmittel]]="Flug", IF(AND(Tabelle24[[#This Row],[Entfernung (km) einfach]]&gt;5000,Tabelle24[[#This Row],[Entfernung (km) einfach]]&lt;10000),Tabelle24[[#This Row],[Entfernung (km) gesamt]], 0), 0)*Tabelle24[[#This Row],[Anzahl Studierende ]]</f>
        <v>0</v>
      </c>
      <c r="S39" s="40">
        <f>IF(Tabelle24[[#This Row],[Verkehrsmittel]]="Flug", IF(AND(Tabelle24[[#This Row],[Entfernung (km) einfach]]&gt;10000),Tabelle24[[#This Row],[Entfernung (km) gesamt]]), 0)*Tabelle24[[#This Row],[Anzahl Studierende ]]</f>
        <v>0</v>
      </c>
      <c r="T39" s="40">
        <f>IF(Tabelle24[[#This Row],[Verkehrsmittel]]="Motorrad",Tabelle24[[#This Row],[Entfernung (km) gesamt]],0)*Tabelle24[[#This Row],[Anzahl Studierende ]]</f>
        <v>0</v>
      </c>
      <c r="U39" s="40">
        <f>IF(Tabelle24[[#This Row],[Verkehrsmittel]]="Straßen-, S-, U-Bahn",Tabelle24[[#This Row],[Entfernung (km) gesamt]],0)*Tabelle24[[#This Row],[Anzahl Studierende ]]</f>
        <v>0</v>
      </c>
      <c r="V39" s="40">
        <f>IF(Tabelle24[[#This Row],[Verkehrsmittel]]="Fahrrad",Tabelle24[[#This Row],[Entfernung (km) gesamt]],0)*Tabelle24[[#This Row],[Anzahl Studierende ]]</f>
        <v>0</v>
      </c>
    </row>
    <row r="40" spans="1:22" ht="14.4" thickBot="1">
      <c r="B40" s="22"/>
      <c r="C40" s="121"/>
      <c r="D40" s="121"/>
      <c r="E40" s="121"/>
      <c r="F40" s="121"/>
      <c r="G40" s="121"/>
      <c r="H40" s="121"/>
      <c r="I40" s="121"/>
      <c r="J40" s="136"/>
      <c r="K40" s="24">
        <f>SUM(Tabelle24[Km Bus])</f>
        <v>0</v>
      </c>
      <c r="L40" s="24">
        <f>SUM(Tabelle24[Km Bahn])</f>
        <v>0</v>
      </c>
      <c r="M40" s="24">
        <f>SUM(Tabelle24[Km PKW])</f>
        <v>0</v>
      </c>
      <c r="N40" s="24">
        <f>SUM(Tabelle24[Flug bis 500])</f>
        <v>0</v>
      </c>
      <c r="O40" s="24">
        <f>SUM(Tabelle24[Flug 500 - 1000 km])</f>
        <v>0</v>
      </c>
      <c r="P40" s="24">
        <f>SUM(Tabelle24[Flug 1000 - 2000])</f>
        <v>0</v>
      </c>
      <c r="Q40" s="24">
        <f>SUM(Tabelle24[Flug 2000 - 5000])</f>
        <v>0</v>
      </c>
      <c r="R40" s="24">
        <f>SUM(Tabelle24[Flug 5000 - 10000])</f>
        <v>0</v>
      </c>
      <c r="S40" s="24">
        <f>SUM(Tabelle24[Flug über 10000])</f>
        <v>0</v>
      </c>
      <c r="T40" s="24">
        <f>SUM(Tabelle24[Motorrad])</f>
        <v>0</v>
      </c>
      <c r="U40" s="24">
        <f>SUM(Tabelle24[Straßen-, S-, U-Bahn])</f>
        <v>0</v>
      </c>
      <c r="V40" s="24">
        <f>SUM(Tabelle24[Fahrrad])</f>
        <v>0</v>
      </c>
    </row>
    <row r="41" spans="1:22">
      <c r="F41" s="137"/>
    </row>
  </sheetData>
  <sheetProtection algorithmName="SHA-512" hashValue="GBOaUmnBoc6lYsFnK8D7hylEYr+Vph82ZIv6XxEv+xmSML6GzvI8R5raVOLlKCHkbAEAxuxvnAIhoz+BD/eGlg==" saltValue="QXDqCK8az/oYd57rQlaoAw==" spinCount="100000" sheet="1" objects="1" formatCells="0" formatColumns="0" formatRows="0" insertColumns="0" insertRows="0" insertHyperlinks="0" deleteColumns="0" deleteRows="0" sort="0" autoFilter="0" pivotTables="0"/>
  <mergeCells count="3">
    <mergeCell ref="B3:C3"/>
    <mergeCell ref="B5:C5"/>
    <mergeCell ref="F2:G5"/>
  </mergeCells>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Hilfstabelle!$C$1:$C$7</xm:f>
          </x14:formula1>
          <xm:sqref>E9:E39</xm:sqref>
        </x14:dataValidation>
        <x14:dataValidation type="list" allowBlank="1" showInputMessage="1" showErrorMessage="1" xr:uid="{00000000-0002-0000-0100-000000000000}">
          <x14:formula1>
            <xm:f>Hilfstabelle!$A$1:$A$8</xm:f>
          </x14:formula1>
          <xm:sqref>I8:I39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1"/>
  <sheetViews>
    <sheetView showGridLines="0" workbookViewId="0">
      <selection activeCell="B3" sqref="B3"/>
    </sheetView>
  </sheetViews>
  <sheetFormatPr baseColWidth="10" defaultRowHeight="13.8"/>
  <cols>
    <col min="1" max="1" width="21.8984375" bestFit="1" customWidth="1"/>
    <col min="2" max="2" width="20.59765625" style="20" customWidth="1"/>
    <col min="3" max="4" width="11.19921875" style="20"/>
    <col min="5" max="5" width="20.8984375" style="20" bestFit="1" customWidth="1"/>
    <col min="6" max="6" width="22.3984375" style="20" bestFit="1" customWidth="1"/>
    <col min="7" max="8" width="24.3984375" style="20" bestFit="1" customWidth="1"/>
    <col min="9" max="9" width="24.19921875" style="20" bestFit="1" customWidth="1"/>
    <col min="10" max="10" width="26.59765625" style="20" bestFit="1" customWidth="1"/>
    <col min="11" max="11" width="15.3984375" hidden="1" customWidth="1"/>
    <col min="12" max="20" width="11.19921875" hidden="1" customWidth="1"/>
    <col min="21" max="23" width="0" hidden="1" customWidth="1"/>
  </cols>
  <sheetData>
    <row r="1" spans="1:22" ht="14.4" thickBot="1"/>
    <row r="2" spans="1:22" ht="14.4" thickBot="1">
      <c r="C2" s="98"/>
      <c r="F2" s="94" t="s">
        <v>51</v>
      </c>
      <c r="G2" s="95"/>
    </row>
    <row r="3" spans="1:22" ht="14.4" thickBot="1">
      <c r="A3" s="1" t="s">
        <v>19</v>
      </c>
      <c r="B3" s="21" t="s">
        <v>40</v>
      </c>
      <c r="F3" s="96"/>
      <c r="G3" s="97"/>
    </row>
    <row r="4" spans="1:22" ht="14.4" thickBot="1">
      <c r="F4" s="96"/>
      <c r="G4" s="97"/>
    </row>
    <row r="5" spans="1:22" ht="14.4" thickBot="1">
      <c r="A5" s="1" t="s">
        <v>37</v>
      </c>
      <c r="B5" s="21"/>
      <c r="F5" s="99"/>
      <c r="G5" s="100"/>
    </row>
    <row r="6" spans="1:22" ht="14.4" thickBot="1">
      <c r="A6" s="1"/>
      <c r="B6" s="32"/>
    </row>
    <row r="7" spans="1:22" ht="14.4" thickBot="1">
      <c r="A7" s="1"/>
      <c r="B7" s="145" t="s">
        <v>0</v>
      </c>
      <c r="C7" s="146" t="s">
        <v>1</v>
      </c>
      <c r="D7" s="146" t="s">
        <v>2</v>
      </c>
      <c r="E7" s="146" t="s">
        <v>3</v>
      </c>
      <c r="F7" s="146" t="s">
        <v>4</v>
      </c>
      <c r="G7" s="146" t="s">
        <v>16</v>
      </c>
      <c r="H7" s="146" t="s">
        <v>22</v>
      </c>
      <c r="I7" s="146" t="s">
        <v>5</v>
      </c>
      <c r="J7" s="147" t="s">
        <v>6</v>
      </c>
      <c r="K7" s="24" t="s">
        <v>13</v>
      </c>
      <c r="L7" s="24" t="s">
        <v>14</v>
      </c>
      <c r="M7" s="24" t="s">
        <v>15</v>
      </c>
      <c r="N7" s="24" t="s">
        <v>23</v>
      </c>
      <c r="O7" s="24" t="s">
        <v>24</v>
      </c>
      <c r="P7" s="24" t="s">
        <v>17</v>
      </c>
      <c r="Q7" s="24" t="s">
        <v>20</v>
      </c>
      <c r="R7" s="24" t="s">
        <v>18</v>
      </c>
      <c r="S7" s="24" t="s">
        <v>21</v>
      </c>
      <c r="T7" s="34" t="s">
        <v>33</v>
      </c>
      <c r="U7" s="34" t="s">
        <v>34</v>
      </c>
      <c r="V7" s="34" t="s">
        <v>10</v>
      </c>
    </row>
    <row r="8" spans="1:22">
      <c r="B8" s="105"/>
      <c r="C8" s="105"/>
      <c r="D8" s="106"/>
      <c r="E8" s="107"/>
      <c r="F8" s="107"/>
      <c r="G8" s="106"/>
      <c r="H8" s="102">
        <f>Tabelle25[[#This Row],[Entfernung (km) einfach]]*2</f>
        <v>0</v>
      </c>
      <c r="I8" s="102"/>
      <c r="J8" s="103"/>
      <c r="K8" s="18">
        <f>IF(Tabelle25[[#This Row],[Verkehrsmittel]]="Bus",Tabelle25[[#This Row],[Entfernung (km) gesamt]],0)*Tabelle25[[#This Row],[Anzahl Studierende ]]</f>
        <v>0</v>
      </c>
      <c r="L8" s="18">
        <f>IF(Tabelle25[[#This Row],[Verkehrsmittel]]="Bahn",Tabelle25[[#This Row],[Anzahl Studierende ]]*Tabelle25[[#This Row],[Entfernung (km) gesamt]],0)</f>
        <v>0</v>
      </c>
      <c r="M8" s="18">
        <f>IF(Tabelle25[[#This Row],[Verkehrsmittel]]="PKW",Tabelle25[[#This Row],[Anzahl Studierende ]]*Tabelle25[[#This Row],[Entfernung (km) gesamt]],0)</f>
        <v>0</v>
      </c>
      <c r="N8" s="18">
        <f>IF(Tabelle25[[#This Row],[Verkehrsmittel]]="Flug", IF(AND(Tabelle25[[#This Row],[Entfernung (km) einfach]]&lt;500),Tabelle25[[#This Row],[Entfernung (km) gesamt]]), 0)*Tabelle25[[#This Row],[Anzahl Studierende ]]</f>
        <v>0</v>
      </c>
      <c r="O8" s="18">
        <f>IF(Tabelle25[[#This Row],[Verkehrsmittel]]="Flug", IF(AND(Tabelle25[[#This Row],[Entfernung (km) einfach]]&gt;500,Tabelle25[[#This Row],[Entfernung (km) einfach]]&lt;1000),Tabelle25[[#This Row],[Entfernung (km) gesamt]], 0), 0)*Tabelle25[[#This Row],[Anzahl Studierende ]]</f>
        <v>0</v>
      </c>
      <c r="P8" s="18">
        <f>IF(Tabelle25[[#This Row],[Verkehrsmittel]]="Flug", IF(AND(Tabelle25[[#This Row],[Entfernung (km) einfach]]&gt;1000,Tabelle25[[#This Row],[Entfernung (km) einfach]]&lt;2000),Tabelle25[[#This Row],[Entfernung (km) gesamt]], 0), 0)*Tabelle25[[#This Row],[Anzahl Studierende ]]</f>
        <v>0</v>
      </c>
      <c r="Q8" s="18">
        <f>IF(Tabelle25[[#This Row],[Verkehrsmittel]]="Flug", IF(AND(Tabelle25[[#This Row],[Entfernung (km) einfach]]&gt;2000,Tabelle25[[#This Row],[Entfernung (km) einfach]]&lt;5000),Tabelle25[[#This Row],[Entfernung (km) gesamt]], 0), 0)*Tabelle25[[#This Row],[Anzahl Studierende ]]</f>
        <v>0</v>
      </c>
      <c r="R8" s="18">
        <f>IF(Tabelle25[[#This Row],[Verkehrsmittel]]="Flug", IF(AND(Tabelle25[[#This Row],[Entfernung (km) einfach]]&gt;5000,Tabelle25[[#This Row],[Entfernung (km) einfach]]&lt;10000),Tabelle25[[#This Row],[Entfernung (km) gesamt]], 0), 0)*Tabelle25[[#This Row],[Anzahl Studierende ]]</f>
        <v>0</v>
      </c>
      <c r="S8" s="18">
        <f>IF(Tabelle25[[#This Row],[Verkehrsmittel]]="Flug", IF(AND(Tabelle25[[#This Row],[Entfernung (km) einfach]]&gt;10000),Tabelle25[[#This Row],[Entfernung (km) gesamt]]), 0)*Tabelle25[[#This Row],[Anzahl Studierende ]]</f>
        <v>0</v>
      </c>
      <c r="T8" s="37">
        <f>IF(Tabelle25[[#This Row],[Verkehrsmittel]]="Motorrad",Tabelle25[[#This Row],[Entfernung (km) gesamt]],0)*Tabelle25[[#This Row],[Anzahl Studierende ]]</f>
        <v>0</v>
      </c>
      <c r="U8" s="37">
        <f>IF(Tabelle25[[#This Row],[Verkehrsmittel]]="Straßen-, S-, U-Bahn",Tabelle25[[#This Row],[Entfernung (km) gesamt]],0)*Tabelle25[[#This Row],[Anzahl Studierende ]]</f>
        <v>0</v>
      </c>
      <c r="V8" s="37">
        <f>IF(Tabelle25[[#This Row],[Verkehrsmittel]]="Fahrrad",Tabelle25[[#This Row],[Entfernung (km) gesamt]],0)*Tabelle25[[#This Row],[Anzahl Studierende ]]</f>
        <v>0</v>
      </c>
    </row>
    <row r="9" spans="1:22">
      <c r="B9" s="110"/>
      <c r="C9" s="110"/>
      <c r="D9" s="32"/>
      <c r="E9" s="32"/>
      <c r="F9" s="32"/>
      <c r="G9" s="32"/>
      <c r="H9" s="32">
        <f>Tabelle25[[#This Row],[Entfernung (km) einfach]]*2</f>
        <v>0</v>
      </c>
      <c r="I9" s="32"/>
      <c r="J9" s="148"/>
      <c r="K9" s="18">
        <f>IF(Tabelle25[[#This Row],[Verkehrsmittel]]="Bus",Tabelle25[[#This Row],[Entfernung (km) gesamt]],0)*Tabelle25[[#This Row],[Anzahl Studierende ]]</f>
        <v>0</v>
      </c>
      <c r="L9" s="18">
        <f>IF(Tabelle25[[#This Row],[Verkehrsmittel]]="Bahn",Tabelle25[[#This Row],[Anzahl Studierende ]]*Tabelle25[[#This Row],[Entfernung (km) gesamt]],0)</f>
        <v>0</v>
      </c>
      <c r="M9" s="18">
        <f>IF(Tabelle25[[#This Row],[Verkehrsmittel]]="PKW",Tabelle25[[#This Row],[Anzahl Studierende ]]*Tabelle25[[#This Row],[Entfernung (km) gesamt]],0)</f>
        <v>0</v>
      </c>
      <c r="N9" s="18">
        <f>IF(Tabelle25[[#This Row],[Verkehrsmittel]]="Flug", IF(AND(Tabelle25[[#This Row],[Entfernung (km) einfach]]&lt;500),Tabelle25[[#This Row],[Entfernung (km) gesamt]]), 0)*Tabelle25[[#This Row],[Anzahl Studierende ]]</f>
        <v>0</v>
      </c>
      <c r="O9" s="18">
        <f>IF(Tabelle25[[#This Row],[Verkehrsmittel]]="Flug", IF(AND(Tabelle25[[#This Row],[Entfernung (km) einfach]]&gt;500,Tabelle25[[#This Row],[Entfernung (km) einfach]]&lt;1000),Tabelle25[[#This Row],[Entfernung (km) gesamt]], 0), 0)*Tabelle25[[#This Row],[Anzahl Studierende ]]</f>
        <v>0</v>
      </c>
      <c r="P9" s="18">
        <f>IF(Tabelle25[[#This Row],[Verkehrsmittel]]="Flug", IF(AND(Tabelle25[[#This Row],[Entfernung (km) einfach]]&gt;1000,Tabelle25[[#This Row],[Entfernung (km) einfach]]&lt;2000),Tabelle25[[#This Row],[Entfernung (km) gesamt]], 0), 0)*Tabelle25[[#This Row],[Anzahl Studierende ]]</f>
        <v>0</v>
      </c>
      <c r="Q9" s="18">
        <f>IF(Tabelle25[[#This Row],[Verkehrsmittel]]="Flug", IF(AND(Tabelle25[[#This Row],[Entfernung (km) einfach]]&gt;2000,Tabelle25[[#This Row],[Entfernung (km) einfach]]&lt;5000),Tabelle25[[#This Row],[Entfernung (km) gesamt]], 0), 0)*Tabelle25[[#This Row],[Anzahl Studierende ]]</f>
        <v>0</v>
      </c>
      <c r="R9" s="18">
        <f>IF(Tabelle25[[#This Row],[Verkehrsmittel]]="Flug", IF(AND(Tabelle25[[#This Row],[Entfernung (km) einfach]]&gt;5000,Tabelle25[[#This Row],[Entfernung (km) einfach]]&lt;10000),Tabelle25[[#This Row],[Entfernung (km) gesamt]], 0), 0)*Tabelle25[[#This Row],[Anzahl Studierende ]]</f>
        <v>0</v>
      </c>
      <c r="S9" s="18">
        <f>IF(Tabelle25[[#This Row],[Verkehrsmittel]]="Flug", IF(AND(Tabelle25[[#This Row],[Entfernung (km) einfach]]&gt;10000),Tabelle25[[#This Row],[Entfernung (km) gesamt]]), 0)*Tabelle25[[#This Row],[Anzahl Studierende ]]</f>
        <v>0</v>
      </c>
      <c r="T9" s="18">
        <f>IF(Tabelle25[[#This Row],[Verkehrsmittel]]="Motorrad",Tabelle25[[#This Row],[Entfernung (km) gesamt]],0)*Tabelle25[[#This Row],[Anzahl Studierende ]]</f>
        <v>0</v>
      </c>
      <c r="U9" s="18">
        <f>IF(Tabelle25[[#This Row],[Verkehrsmittel]]="Straßen-, S-, U-Bahn",Tabelle25[[#This Row],[Entfernung (km) gesamt]],0)*Tabelle25[[#This Row],[Anzahl Studierende ]]</f>
        <v>0</v>
      </c>
      <c r="V9" s="18">
        <f>IF(Tabelle25[[#This Row],[Verkehrsmittel]]="Fahrrad",Tabelle25[[#This Row],[Entfernung (km) gesamt]],0)*Tabelle25[[#This Row],[Anzahl Studierende ]]</f>
        <v>0</v>
      </c>
    </row>
    <row r="10" spans="1:22">
      <c r="B10" s="110"/>
      <c r="C10" s="110"/>
      <c r="D10" s="32"/>
      <c r="E10" s="32"/>
      <c r="F10" s="32"/>
      <c r="G10" s="32"/>
      <c r="H10" s="32">
        <f>Tabelle25[[#This Row],[Entfernung (km) einfach]]*2</f>
        <v>0</v>
      </c>
      <c r="I10" s="32"/>
      <c r="J10" s="148"/>
      <c r="K10" s="18">
        <f>IF(Tabelle25[[#This Row],[Verkehrsmittel]]="Bus",Tabelle25[[#This Row],[Entfernung (km) gesamt]],0)*Tabelle25[[#This Row],[Anzahl Studierende ]]</f>
        <v>0</v>
      </c>
      <c r="L10" s="18">
        <f>IF(Tabelle25[[#This Row],[Verkehrsmittel]]="Bahn",Tabelle25[[#This Row],[Anzahl Studierende ]]*Tabelle25[[#This Row],[Entfernung (km) gesamt]],0)</f>
        <v>0</v>
      </c>
      <c r="M10" s="18">
        <f>IF(Tabelle25[[#This Row],[Verkehrsmittel]]="PKW",Tabelle25[[#This Row],[Anzahl Studierende ]]*Tabelle25[[#This Row],[Entfernung (km) gesamt]],0)</f>
        <v>0</v>
      </c>
      <c r="N10" s="18">
        <f>IF(Tabelle25[[#This Row],[Verkehrsmittel]]="Flug", IF(AND(Tabelle25[[#This Row],[Entfernung (km) einfach]]&lt;500),Tabelle25[[#This Row],[Entfernung (km) gesamt]]), 0)*Tabelle25[[#This Row],[Anzahl Studierende ]]</f>
        <v>0</v>
      </c>
      <c r="O10" s="18">
        <f>IF(Tabelle25[[#This Row],[Verkehrsmittel]]="Flug", IF(AND(Tabelle25[[#This Row],[Entfernung (km) einfach]]&gt;500,Tabelle25[[#This Row],[Entfernung (km) einfach]]&lt;1000),Tabelle25[[#This Row],[Entfernung (km) gesamt]], 0), 0)*Tabelle25[[#This Row],[Anzahl Studierende ]]</f>
        <v>0</v>
      </c>
      <c r="P10" s="18">
        <f>IF(Tabelle25[[#This Row],[Verkehrsmittel]]="Flug", IF(AND(Tabelle25[[#This Row],[Entfernung (km) einfach]]&gt;1000,Tabelle25[[#This Row],[Entfernung (km) einfach]]&lt;2000),Tabelle25[[#This Row],[Entfernung (km) gesamt]], 0), 0)*Tabelle25[[#This Row],[Anzahl Studierende ]]</f>
        <v>0</v>
      </c>
      <c r="Q10" s="18">
        <f>IF(Tabelle25[[#This Row],[Verkehrsmittel]]="Flug", IF(AND(Tabelle25[[#This Row],[Entfernung (km) einfach]]&gt;2000,Tabelle25[[#This Row],[Entfernung (km) einfach]]&lt;5000),Tabelle25[[#This Row],[Entfernung (km) gesamt]], 0), 0)*Tabelle25[[#This Row],[Anzahl Studierende ]]</f>
        <v>0</v>
      </c>
      <c r="R10" s="18">
        <f>IF(Tabelle25[[#This Row],[Verkehrsmittel]]="Flug", IF(AND(Tabelle25[[#This Row],[Entfernung (km) einfach]]&gt;5000,Tabelle25[[#This Row],[Entfernung (km) einfach]]&lt;10000),Tabelle25[[#This Row],[Entfernung (km) gesamt]], 0), 0)*Tabelle25[[#This Row],[Anzahl Studierende ]]</f>
        <v>0</v>
      </c>
      <c r="S10" s="18">
        <f>IF(Tabelle25[[#This Row],[Verkehrsmittel]]="Flug", IF(AND(Tabelle25[[#This Row],[Entfernung (km) einfach]]&gt;10000),Tabelle25[[#This Row],[Entfernung (km) gesamt]]), 0)*Tabelle25[[#This Row],[Anzahl Studierende ]]</f>
        <v>0</v>
      </c>
      <c r="T10" s="18">
        <f>IF(Tabelle25[[#This Row],[Verkehrsmittel]]="Motorrad",Tabelle25[[#This Row],[Entfernung (km) gesamt]],0)*Tabelle25[[#This Row],[Anzahl Studierende ]]</f>
        <v>0</v>
      </c>
      <c r="U10" s="18">
        <f>IF(Tabelle25[[#This Row],[Verkehrsmittel]]="Straßen-, S-, U-Bahn",Tabelle25[[#This Row],[Entfernung (km) gesamt]],0)*Tabelle25[[#This Row],[Anzahl Studierende ]]</f>
        <v>0</v>
      </c>
      <c r="V10" s="18">
        <f>IF(Tabelle25[[#This Row],[Verkehrsmittel]]="Fahrrad",Tabelle25[[#This Row],[Entfernung (km) gesamt]],0)*Tabelle25[[#This Row],[Anzahl Studierende ]]</f>
        <v>0</v>
      </c>
    </row>
    <row r="11" spans="1:22">
      <c r="B11" s="110"/>
      <c r="C11" s="110"/>
      <c r="D11" s="32"/>
      <c r="E11" s="32"/>
      <c r="F11" s="32"/>
      <c r="G11" s="32"/>
      <c r="H11" s="32">
        <f>Tabelle25[[#This Row],[Entfernung (km) einfach]]*2</f>
        <v>0</v>
      </c>
      <c r="I11" s="32"/>
      <c r="J11" s="148"/>
      <c r="K11" s="18">
        <f>IF(Tabelle25[[#This Row],[Verkehrsmittel]]="Bus",Tabelle25[[#This Row],[Entfernung (km) gesamt]],0)*Tabelle25[[#This Row],[Anzahl Studierende ]]</f>
        <v>0</v>
      </c>
      <c r="L11" s="18">
        <f>IF(Tabelle25[[#This Row],[Verkehrsmittel]]="Bahn",Tabelle25[[#This Row],[Anzahl Studierende ]]*Tabelle25[[#This Row],[Entfernung (km) gesamt]],0)</f>
        <v>0</v>
      </c>
      <c r="M11" s="18">
        <f>IF(Tabelle25[[#This Row],[Verkehrsmittel]]="PKW",Tabelle25[[#This Row],[Anzahl Studierende ]]*Tabelle25[[#This Row],[Entfernung (km) gesamt]],0)</f>
        <v>0</v>
      </c>
      <c r="N11" s="18">
        <f>IF(Tabelle25[[#This Row],[Verkehrsmittel]]="Flug", IF(AND(Tabelle25[[#This Row],[Entfernung (km) einfach]]&lt;500),Tabelle25[[#This Row],[Entfernung (km) gesamt]]), 0)*Tabelle25[[#This Row],[Anzahl Studierende ]]</f>
        <v>0</v>
      </c>
      <c r="O11" s="18">
        <f>IF(Tabelle25[[#This Row],[Verkehrsmittel]]="Flug", IF(AND(Tabelle25[[#This Row],[Entfernung (km) einfach]]&gt;500,Tabelle25[[#This Row],[Entfernung (km) einfach]]&lt;1000),Tabelle25[[#This Row],[Entfernung (km) gesamt]], 0), 0)*Tabelle25[[#This Row],[Anzahl Studierende ]]</f>
        <v>0</v>
      </c>
      <c r="P11" s="18">
        <f>IF(Tabelle25[[#This Row],[Verkehrsmittel]]="Flug", IF(AND(Tabelle25[[#This Row],[Entfernung (km) einfach]]&gt;1000,Tabelle25[[#This Row],[Entfernung (km) einfach]]&lt;2000),Tabelle25[[#This Row],[Entfernung (km) gesamt]], 0), 0)*Tabelle25[[#This Row],[Anzahl Studierende ]]</f>
        <v>0</v>
      </c>
      <c r="Q11" s="18">
        <f>IF(Tabelle25[[#This Row],[Verkehrsmittel]]="Flug", IF(AND(Tabelle25[[#This Row],[Entfernung (km) einfach]]&gt;2000,Tabelle25[[#This Row],[Entfernung (km) einfach]]&lt;5000),Tabelle25[[#This Row],[Entfernung (km) gesamt]], 0), 0)*Tabelle25[[#This Row],[Anzahl Studierende ]]</f>
        <v>0</v>
      </c>
      <c r="R11" s="18">
        <f>IF(Tabelle25[[#This Row],[Verkehrsmittel]]="Flug", IF(AND(Tabelle25[[#This Row],[Entfernung (km) einfach]]&gt;5000,Tabelle25[[#This Row],[Entfernung (km) einfach]]&lt;10000),Tabelle25[[#This Row],[Entfernung (km) gesamt]], 0), 0)*Tabelle25[[#This Row],[Anzahl Studierende ]]</f>
        <v>0</v>
      </c>
      <c r="S11" s="18">
        <f>IF(Tabelle25[[#This Row],[Verkehrsmittel]]="Flug", IF(AND(Tabelle25[[#This Row],[Entfernung (km) einfach]]&gt;10000),Tabelle25[[#This Row],[Entfernung (km) gesamt]]), 0)*Tabelle25[[#This Row],[Anzahl Studierende ]]</f>
        <v>0</v>
      </c>
      <c r="T11" s="18">
        <f>IF(Tabelle25[[#This Row],[Verkehrsmittel]]="Motorrad",Tabelle25[[#This Row],[Entfernung (km) gesamt]],0)*Tabelle25[[#This Row],[Anzahl Studierende ]]</f>
        <v>0</v>
      </c>
      <c r="U11" s="18">
        <f>IF(Tabelle25[[#This Row],[Verkehrsmittel]]="Straßen-, S-, U-Bahn",Tabelle25[[#This Row],[Entfernung (km) gesamt]],0)*Tabelle25[[#This Row],[Anzahl Studierende ]]</f>
        <v>0</v>
      </c>
      <c r="V11" s="18">
        <f>IF(Tabelle25[[#This Row],[Verkehrsmittel]]="Fahrrad",Tabelle25[[#This Row],[Entfernung (km) gesamt]],0)*Tabelle25[[#This Row],[Anzahl Studierende ]]</f>
        <v>0</v>
      </c>
    </row>
    <row r="12" spans="1:22">
      <c r="B12" s="110"/>
      <c r="C12" s="110"/>
      <c r="D12" s="32"/>
      <c r="E12" s="32"/>
      <c r="F12" s="32"/>
      <c r="G12" s="32"/>
      <c r="H12" s="32">
        <f>Tabelle25[[#This Row],[Entfernung (km) einfach]]*2</f>
        <v>0</v>
      </c>
      <c r="I12" s="32"/>
      <c r="J12" s="148"/>
      <c r="K12" s="18">
        <f>IF(Tabelle25[[#This Row],[Verkehrsmittel]]="Bus",Tabelle25[[#This Row],[Entfernung (km) gesamt]],0)*Tabelle25[[#This Row],[Anzahl Studierende ]]</f>
        <v>0</v>
      </c>
      <c r="L12" s="18">
        <f>IF(Tabelle25[[#This Row],[Verkehrsmittel]]="Bahn",Tabelle25[[#This Row],[Anzahl Studierende ]]*Tabelle25[[#This Row],[Entfernung (km) gesamt]],0)</f>
        <v>0</v>
      </c>
      <c r="M12" s="18">
        <f>IF(Tabelle25[[#This Row],[Verkehrsmittel]]="PKW",Tabelle25[[#This Row],[Anzahl Studierende ]]*Tabelle25[[#This Row],[Entfernung (km) gesamt]],0)</f>
        <v>0</v>
      </c>
      <c r="N12" s="18">
        <f>IF(Tabelle25[[#This Row],[Verkehrsmittel]]="Flug", IF(AND(Tabelle25[[#This Row],[Entfernung (km) einfach]]&lt;500),Tabelle25[[#This Row],[Entfernung (km) gesamt]]), 0)*Tabelle25[[#This Row],[Anzahl Studierende ]]</f>
        <v>0</v>
      </c>
      <c r="O12" s="18">
        <f>IF(Tabelle25[[#This Row],[Verkehrsmittel]]="Flug", IF(AND(Tabelle25[[#This Row],[Entfernung (km) einfach]]&gt;500,Tabelle25[[#This Row],[Entfernung (km) einfach]]&lt;1000),Tabelle25[[#This Row],[Entfernung (km) gesamt]], 0), 0)*Tabelle25[[#This Row],[Anzahl Studierende ]]</f>
        <v>0</v>
      </c>
      <c r="P12" s="18">
        <f>IF(Tabelle25[[#This Row],[Verkehrsmittel]]="Flug", IF(AND(Tabelle25[[#This Row],[Entfernung (km) einfach]]&gt;1000,Tabelle25[[#This Row],[Entfernung (km) einfach]]&lt;2000),Tabelle25[[#This Row],[Entfernung (km) gesamt]], 0), 0)*Tabelle25[[#This Row],[Anzahl Studierende ]]</f>
        <v>0</v>
      </c>
      <c r="Q12" s="18">
        <f>IF(Tabelle25[[#This Row],[Verkehrsmittel]]="Flug", IF(AND(Tabelle25[[#This Row],[Entfernung (km) einfach]]&gt;2000,Tabelle25[[#This Row],[Entfernung (km) einfach]]&lt;5000),Tabelle25[[#This Row],[Entfernung (km) gesamt]], 0), 0)*Tabelle25[[#This Row],[Anzahl Studierende ]]</f>
        <v>0</v>
      </c>
      <c r="R12" s="18">
        <f>IF(Tabelle25[[#This Row],[Verkehrsmittel]]="Flug", IF(AND(Tabelle25[[#This Row],[Entfernung (km) einfach]]&gt;5000,Tabelle25[[#This Row],[Entfernung (km) einfach]]&lt;10000),Tabelle25[[#This Row],[Entfernung (km) gesamt]], 0), 0)*Tabelle25[[#This Row],[Anzahl Studierende ]]</f>
        <v>0</v>
      </c>
      <c r="S12" s="18">
        <f>IF(Tabelle25[[#This Row],[Verkehrsmittel]]="Flug", IF(AND(Tabelle25[[#This Row],[Entfernung (km) einfach]]&gt;10000),Tabelle25[[#This Row],[Entfernung (km) gesamt]]), 0)*Tabelle25[[#This Row],[Anzahl Studierende ]]</f>
        <v>0</v>
      </c>
      <c r="T12" s="18">
        <f>IF(Tabelle25[[#This Row],[Verkehrsmittel]]="Motorrad",Tabelle25[[#This Row],[Entfernung (km) gesamt]],0)*Tabelle25[[#This Row],[Anzahl Studierende ]]</f>
        <v>0</v>
      </c>
      <c r="U12" s="18">
        <f>IF(Tabelle25[[#This Row],[Verkehrsmittel]]="Straßen-, S-, U-Bahn",Tabelle25[[#This Row],[Entfernung (km) gesamt]],0)*Tabelle25[[#This Row],[Anzahl Studierende ]]</f>
        <v>0</v>
      </c>
      <c r="V12" s="18">
        <f>IF(Tabelle25[[#This Row],[Verkehrsmittel]]="Fahrrad",Tabelle25[[#This Row],[Entfernung (km) gesamt]],0)*Tabelle25[[#This Row],[Anzahl Studierende ]]</f>
        <v>0</v>
      </c>
    </row>
    <row r="13" spans="1:22">
      <c r="B13" s="110"/>
      <c r="C13" s="110"/>
      <c r="D13" s="32"/>
      <c r="E13" s="32"/>
      <c r="F13" s="32"/>
      <c r="G13" s="32"/>
      <c r="H13" s="32">
        <f>Tabelle25[[#This Row],[Entfernung (km) einfach]]*2</f>
        <v>0</v>
      </c>
      <c r="I13" s="32"/>
      <c r="J13" s="148"/>
      <c r="K13" s="18">
        <f>IF(Tabelle25[[#This Row],[Verkehrsmittel]]="Bus",Tabelle25[[#This Row],[Entfernung (km) gesamt]],0)*Tabelle25[[#This Row],[Anzahl Studierende ]]</f>
        <v>0</v>
      </c>
      <c r="L13" s="18">
        <f>IF(Tabelle25[[#This Row],[Verkehrsmittel]]="Bahn",Tabelle25[[#This Row],[Anzahl Studierende ]]*Tabelle25[[#This Row],[Entfernung (km) gesamt]],0)</f>
        <v>0</v>
      </c>
      <c r="M13" s="18">
        <f>IF(Tabelle25[[#This Row],[Verkehrsmittel]]="PKW",Tabelle25[[#This Row],[Anzahl Studierende ]]*Tabelle25[[#This Row],[Entfernung (km) gesamt]],0)</f>
        <v>0</v>
      </c>
      <c r="N13" s="18">
        <f>IF(Tabelle25[[#This Row],[Verkehrsmittel]]="Flug", IF(AND(Tabelle25[[#This Row],[Entfernung (km) einfach]]&lt;500),Tabelle25[[#This Row],[Entfernung (km) gesamt]]), 0)*Tabelle25[[#This Row],[Anzahl Studierende ]]</f>
        <v>0</v>
      </c>
      <c r="O13" s="18">
        <f>IF(Tabelle25[[#This Row],[Verkehrsmittel]]="Flug", IF(AND(Tabelle25[[#This Row],[Entfernung (km) einfach]]&gt;500,Tabelle25[[#This Row],[Entfernung (km) einfach]]&lt;1000),Tabelle25[[#This Row],[Entfernung (km) gesamt]], 0), 0)*Tabelle25[[#This Row],[Anzahl Studierende ]]</f>
        <v>0</v>
      </c>
      <c r="P13" s="18">
        <f>IF(Tabelle25[[#This Row],[Verkehrsmittel]]="Flug", IF(AND(Tabelle25[[#This Row],[Entfernung (km) einfach]]&gt;1000,Tabelle25[[#This Row],[Entfernung (km) einfach]]&lt;2000),Tabelle25[[#This Row],[Entfernung (km) gesamt]], 0), 0)*Tabelle25[[#This Row],[Anzahl Studierende ]]</f>
        <v>0</v>
      </c>
      <c r="Q13" s="18">
        <f>IF(Tabelle25[[#This Row],[Verkehrsmittel]]="Flug", IF(AND(Tabelle25[[#This Row],[Entfernung (km) einfach]]&gt;2000,Tabelle25[[#This Row],[Entfernung (km) einfach]]&lt;5000),Tabelle25[[#This Row],[Entfernung (km) gesamt]], 0), 0)*Tabelle25[[#This Row],[Anzahl Studierende ]]</f>
        <v>0</v>
      </c>
      <c r="R13" s="18">
        <f>IF(Tabelle25[[#This Row],[Verkehrsmittel]]="Flug", IF(AND(Tabelle25[[#This Row],[Entfernung (km) einfach]]&gt;5000,Tabelle25[[#This Row],[Entfernung (km) einfach]]&lt;10000),Tabelle25[[#This Row],[Entfernung (km) gesamt]], 0), 0)*Tabelle25[[#This Row],[Anzahl Studierende ]]</f>
        <v>0</v>
      </c>
      <c r="S13" s="18">
        <f>IF(Tabelle25[[#This Row],[Verkehrsmittel]]="Flug", IF(AND(Tabelle25[[#This Row],[Entfernung (km) einfach]]&gt;10000),Tabelle25[[#This Row],[Entfernung (km) gesamt]]), 0)*Tabelle25[[#This Row],[Anzahl Studierende ]]</f>
        <v>0</v>
      </c>
      <c r="T13" s="18">
        <f>IF(Tabelle25[[#This Row],[Verkehrsmittel]]="Motorrad",Tabelle25[[#This Row],[Entfernung (km) gesamt]],0)*Tabelle25[[#This Row],[Anzahl Studierende ]]</f>
        <v>0</v>
      </c>
      <c r="U13" s="18">
        <f>IF(Tabelle25[[#This Row],[Verkehrsmittel]]="Straßen-, S-, U-Bahn",Tabelle25[[#This Row],[Entfernung (km) gesamt]],0)*Tabelle25[[#This Row],[Anzahl Studierende ]]</f>
        <v>0</v>
      </c>
      <c r="V13" s="18">
        <f>IF(Tabelle25[[#This Row],[Verkehrsmittel]]="Fahrrad",Tabelle25[[#This Row],[Entfernung (km) gesamt]],0)*Tabelle25[[#This Row],[Anzahl Studierende ]]</f>
        <v>0</v>
      </c>
    </row>
    <row r="14" spans="1:22">
      <c r="B14" s="110"/>
      <c r="C14" s="110"/>
      <c r="D14" s="32"/>
      <c r="E14" s="32"/>
      <c r="F14" s="32"/>
      <c r="G14" s="32"/>
      <c r="H14" s="32">
        <f>Tabelle25[[#This Row],[Entfernung (km) einfach]]*2</f>
        <v>0</v>
      </c>
      <c r="I14" s="32"/>
      <c r="J14" s="148"/>
      <c r="K14" s="18">
        <f>IF(Tabelle25[[#This Row],[Verkehrsmittel]]="Bus",Tabelle25[[#This Row],[Entfernung (km) gesamt]],0)*Tabelle25[[#This Row],[Anzahl Studierende ]]</f>
        <v>0</v>
      </c>
      <c r="L14" s="18">
        <f>IF(Tabelle25[[#This Row],[Verkehrsmittel]]="Bahn",Tabelle25[[#This Row],[Anzahl Studierende ]]*Tabelle25[[#This Row],[Entfernung (km) gesamt]],0)</f>
        <v>0</v>
      </c>
      <c r="M14" s="18">
        <f>IF(Tabelle25[[#This Row],[Verkehrsmittel]]="PKW",Tabelle25[[#This Row],[Anzahl Studierende ]]*Tabelle25[[#This Row],[Entfernung (km) gesamt]],0)</f>
        <v>0</v>
      </c>
      <c r="N14" s="18">
        <f>IF(Tabelle25[[#This Row],[Verkehrsmittel]]="Flug", IF(AND(Tabelle25[[#This Row],[Entfernung (km) einfach]]&lt;500),Tabelle25[[#This Row],[Entfernung (km) gesamt]]), 0)*Tabelle25[[#This Row],[Anzahl Studierende ]]</f>
        <v>0</v>
      </c>
      <c r="O14" s="18">
        <f>IF(Tabelle25[[#This Row],[Verkehrsmittel]]="Flug", IF(AND(Tabelle25[[#This Row],[Entfernung (km) einfach]]&gt;500,Tabelle25[[#This Row],[Entfernung (km) einfach]]&lt;1000),Tabelle25[[#This Row],[Entfernung (km) gesamt]], 0), 0)*Tabelle25[[#This Row],[Anzahl Studierende ]]</f>
        <v>0</v>
      </c>
      <c r="P14" s="18">
        <f>IF(Tabelle25[[#This Row],[Verkehrsmittel]]="Flug", IF(AND(Tabelle25[[#This Row],[Entfernung (km) einfach]]&gt;1000,Tabelle25[[#This Row],[Entfernung (km) einfach]]&lt;2000),Tabelle25[[#This Row],[Entfernung (km) gesamt]], 0), 0)*Tabelle25[[#This Row],[Anzahl Studierende ]]</f>
        <v>0</v>
      </c>
      <c r="Q14" s="18">
        <f>IF(Tabelle25[[#This Row],[Verkehrsmittel]]="Flug", IF(AND(Tabelle25[[#This Row],[Entfernung (km) einfach]]&gt;2000,Tabelle25[[#This Row],[Entfernung (km) einfach]]&lt;5000),Tabelle25[[#This Row],[Entfernung (km) gesamt]], 0), 0)*Tabelle25[[#This Row],[Anzahl Studierende ]]</f>
        <v>0</v>
      </c>
      <c r="R14" s="18">
        <f>IF(Tabelle25[[#This Row],[Verkehrsmittel]]="Flug", IF(AND(Tabelle25[[#This Row],[Entfernung (km) einfach]]&gt;5000,Tabelle25[[#This Row],[Entfernung (km) einfach]]&lt;10000),Tabelle25[[#This Row],[Entfernung (km) gesamt]], 0), 0)*Tabelle25[[#This Row],[Anzahl Studierende ]]</f>
        <v>0</v>
      </c>
      <c r="S14" s="18">
        <f>IF(Tabelle25[[#This Row],[Verkehrsmittel]]="Flug", IF(AND(Tabelle25[[#This Row],[Entfernung (km) einfach]]&gt;10000),Tabelle25[[#This Row],[Entfernung (km) gesamt]]), 0)*Tabelle25[[#This Row],[Anzahl Studierende ]]</f>
        <v>0</v>
      </c>
      <c r="T14" s="18">
        <f>IF(Tabelle25[[#This Row],[Verkehrsmittel]]="Motorrad",Tabelle25[[#This Row],[Entfernung (km) gesamt]],0)*Tabelle25[[#This Row],[Anzahl Studierende ]]</f>
        <v>0</v>
      </c>
      <c r="U14" s="18">
        <f>IF(Tabelle25[[#This Row],[Verkehrsmittel]]="Straßen-, S-, U-Bahn",Tabelle25[[#This Row],[Entfernung (km) gesamt]],0)*Tabelle25[[#This Row],[Anzahl Studierende ]]</f>
        <v>0</v>
      </c>
      <c r="V14" s="18">
        <f>IF(Tabelle25[[#This Row],[Verkehrsmittel]]="Fahrrad",Tabelle25[[#This Row],[Entfernung (km) gesamt]],0)*Tabelle25[[#This Row],[Anzahl Studierende ]]</f>
        <v>0</v>
      </c>
    </row>
    <row r="15" spans="1:22">
      <c r="B15" s="110"/>
      <c r="C15" s="110"/>
      <c r="D15" s="32"/>
      <c r="E15" s="32"/>
      <c r="F15" s="32"/>
      <c r="G15" s="32"/>
      <c r="H15" s="32">
        <f>Tabelle25[[#This Row],[Entfernung (km) einfach]]*2</f>
        <v>0</v>
      </c>
      <c r="I15" s="32"/>
      <c r="J15" s="148"/>
      <c r="K15" s="18">
        <f>IF(Tabelle25[[#This Row],[Verkehrsmittel]]="Bus",Tabelle25[[#This Row],[Entfernung (km) gesamt]],0)*Tabelle25[[#This Row],[Anzahl Studierende ]]</f>
        <v>0</v>
      </c>
      <c r="L15" s="18">
        <f>IF(Tabelle25[[#This Row],[Verkehrsmittel]]="Bahn",Tabelle25[[#This Row],[Anzahl Studierende ]]*Tabelle25[[#This Row],[Entfernung (km) gesamt]],0)</f>
        <v>0</v>
      </c>
      <c r="M15" s="18">
        <f>IF(Tabelle25[[#This Row],[Verkehrsmittel]]="PKW",Tabelle25[[#This Row],[Anzahl Studierende ]]*Tabelle25[[#This Row],[Entfernung (km) gesamt]],0)</f>
        <v>0</v>
      </c>
      <c r="N15" s="18">
        <f>IF(Tabelle25[[#This Row],[Verkehrsmittel]]="Flug", IF(AND(Tabelle25[[#This Row],[Entfernung (km) einfach]]&lt;500),Tabelle25[[#This Row],[Entfernung (km) gesamt]]), 0)*Tabelle25[[#This Row],[Anzahl Studierende ]]</f>
        <v>0</v>
      </c>
      <c r="O15" s="18">
        <f>IF(Tabelle25[[#This Row],[Verkehrsmittel]]="Flug", IF(AND(Tabelle25[[#This Row],[Entfernung (km) einfach]]&gt;500,Tabelle25[[#This Row],[Entfernung (km) einfach]]&lt;1000),Tabelle25[[#This Row],[Entfernung (km) gesamt]], 0), 0)*Tabelle25[[#This Row],[Anzahl Studierende ]]</f>
        <v>0</v>
      </c>
      <c r="P15" s="18">
        <f>IF(Tabelle25[[#This Row],[Verkehrsmittel]]="Flug", IF(AND(Tabelle25[[#This Row],[Entfernung (km) einfach]]&gt;1000,Tabelle25[[#This Row],[Entfernung (km) einfach]]&lt;2000),Tabelle25[[#This Row],[Entfernung (km) gesamt]], 0), 0)*Tabelle25[[#This Row],[Anzahl Studierende ]]</f>
        <v>0</v>
      </c>
      <c r="Q15" s="18">
        <f>IF(Tabelle25[[#This Row],[Verkehrsmittel]]="Flug", IF(AND(Tabelle25[[#This Row],[Entfernung (km) einfach]]&gt;2000,Tabelle25[[#This Row],[Entfernung (km) einfach]]&lt;5000),Tabelle25[[#This Row],[Entfernung (km) gesamt]], 0), 0)*Tabelle25[[#This Row],[Anzahl Studierende ]]</f>
        <v>0</v>
      </c>
      <c r="R15" s="18">
        <f>IF(Tabelle25[[#This Row],[Verkehrsmittel]]="Flug", IF(AND(Tabelle25[[#This Row],[Entfernung (km) einfach]]&gt;5000,Tabelle25[[#This Row],[Entfernung (km) einfach]]&lt;10000),Tabelle25[[#This Row],[Entfernung (km) gesamt]], 0), 0)*Tabelle25[[#This Row],[Anzahl Studierende ]]</f>
        <v>0</v>
      </c>
      <c r="S15" s="18">
        <f>IF(Tabelle25[[#This Row],[Verkehrsmittel]]="Flug", IF(AND(Tabelle25[[#This Row],[Entfernung (km) einfach]]&gt;10000),Tabelle25[[#This Row],[Entfernung (km) gesamt]]), 0)*Tabelle25[[#This Row],[Anzahl Studierende ]]</f>
        <v>0</v>
      </c>
      <c r="T15" s="18">
        <f>IF(Tabelle25[[#This Row],[Verkehrsmittel]]="Motorrad",Tabelle25[[#This Row],[Entfernung (km) gesamt]],0)*Tabelle25[[#This Row],[Anzahl Studierende ]]</f>
        <v>0</v>
      </c>
      <c r="U15" s="18">
        <f>IF(Tabelle25[[#This Row],[Verkehrsmittel]]="Straßen-, S-, U-Bahn",Tabelle25[[#This Row],[Entfernung (km) gesamt]],0)*Tabelle25[[#This Row],[Anzahl Studierende ]]</f>
        <v>0</v>
      </c>
      <c r="V15" s="18">
        <f>IF(Tabelle25[[#This Row],[Verkehrsmittel]]="Fahrrad",Tabelle25[[#This Row],[Entfernung (km) gesamt]],0)*Tabelle25[[#This Row],[Anzahl Studierende ]]</f>
        <v>0</v>
      </c>
    </row>
    <row r="16" spans="1:22">
      <c r="B16" s="110"/>
      <c r="C16" s="110"/>
      <c r="D16" s="32"/>
      <c r="E16" s="32"/>
      <c r="F16" s="32"/>
      <c r="G16" s="32"/>
      <c r="H16" s="32">
        <f>Tabelle25[[#This Row],[Entfernung (km) einfach]]*2</f>
        <v>0</v>
      </c>
      <c r="I16" s="32"/>
      <c r="J16" s="148"/>
      <c r="K16" s="18">
        <f>IF(Tabelle25[[#This Row],[Verkehrsmittel]]="Bus",Tabelle25[[#This Row],[Entfernung (km) gesamt]],0)*Tabelle25[[#This Row],[Anzahl Studierende ]]</f>
        <v>0</v>
      </c>
      <c r="L16" s="18">
        <f>IF(Tabelle25[[#This Row],[Verkehrsmittel]]="Bahn",Tabelle25[[#This Row],[Anzahl Studierende ]]*Tabelle25[[#This Row],[Entfernung (km) gesamt]],0)</f>
        <v>0</v>
      </c>
      <c r="M16" s="18">
        <f>IF(Tabelle25[[#This Row],[Verkehrsmittel]]="PKW",Tabelle25[[#This Row],[Anzahl Studierende ]]*Tabelle25[[#This Row],[Entfernung (km) gesamt]],0)</f>
        <v>0</v>
      </c>
      <c r="N16" s="18">
        <f>IF(Tabelle25[[#This Row],[Verkehrsmittel]]="Flug", IF(AND(Tabelle25[[#This Row],[Entfernung (km) einfach]]&lt;500),Tabelle25[[#This Row],[Entfernung (km) gesamt]]), 0)*Tabelle25[[#This Row],[Anzahl Studierende ]]</f>
        <v>0</v>
      </c>
      <c r="O16" s="18">
        <f>IF(Tabelle25[[#This Row],[Verkehrsmittel]]="Flug", IF(AND(Tabelle25[[#This Row],[Entfernung (km) einfach]]&gt;500,Tabelle25[[#This Row],[Entfernung (km) einfach]]&lt;1000),Tabelle25[[#This Row],[Entfernung (km) gesamt]], 0), 0)*Tabelle25[[#This Row],[Anzahl Studierende ]]</f>
        <v>0</v>
      </c>
      <c r="P16" s="18">
        <f>IF(Tabelle25[[#This Row],[Verkehrsmittel]]="Flug", IF(AND(Tabelle25[[#This Row],[Entfernung (km) einfach]]&gt;1000,Tabelle25[[#This Row],[Entfernung (km) einfach]]&lt;2000),Tabelle25[[#This Row],[Entfernung (km) gesamt]], 0), 0)*Tabelle25[[#This Row],[Anzahl Studierende ]]</f>
        <v>0</v>
      </c>
      <c r="Q16" s="18">
        <f>IF(Tabelle25[[#This Row],[Verkehrsmittel]]="Flug", IF(AND(Tabelle25[[#This Row],[Entfernung (km) einfach]]&gt;2000,Tabelle25[[#This Row],[Entfernung (km) einfach]]&lt;5000),Tabelle25[[#This Row],[Entfernung (km) gesamt]], 0), 0)*Tabelle25[[#This Row],[Anzahl Studierende ]]</f>
        <v>0</v>
      </c>
      <c r="R16" s="18">
        <f>IF(Tabelle25[[#This Row],[Verkehrsmittel]]="Flug", IF(AND(Tabelle25[[#This Row],[Entfernung (km) einfach]]&gt;5000,Tabelle25[[#This Row],[Entfernung (km) einfach]]&lt;10000),Tabelle25[[#This Row],[Entfernung (km) gesamt]], 0), 0)*Tabelle25[[#This Row],[Anzahl Studierende ]]</f>
        <v>0</v>
      </c>
      <c r="S16" s="18">
        <f>IF(Tabelle25[[#This Row],[Verkehrsmittel]]="Flug", IF(AND(Tabelle25[[#This Row],[Entfernung (km) einfach]]&gt;10000),Tabelle25[[#This Row],[Entfernung (km) gesamt]]), 0)*Tabelle25[[#This Row],[Anzahl Studierende ]]</f>
        <v>0</v>
      </c>
      <c r="T16" s="18">
        <f>IF(Tabelle25[[#This Row],[Verkehrsmittel]]="Motorrad",Tabelle25[[#This Row],[Entfernung (km) gesamt]],0)*Tabelle25[[#This Row],[Anzahl Studierende ]]</f>
        <v>0</v>
      </c>
      <c r="U16" s="18">
        <f>IF(Tabelle25[[#This Row],[Verkehrsmittel]]="Straßen-, S-, U-Bahn",Tabelle25[[#This Row],[Entfernung (km) gesamt]],0)*Tabelle25[[#This Row],[Anzahl Studierende ]]</f>
        <v>0</v>
      </c>
      <c r="V16" s="18">
        <f>IF(Tabelle25[[#This Row],[Verkehrsmittel]]="Fahrrad",Tabelle25[[#This Row],[Entfernung (km) gesamt]],0)*Tabelle25[[#This Row],[Anzahl Studierende ]]</f>
        <v>0</v>
      </c>
    </row>
    <row r="17" spans="2:22">
      <c r="B17" s="110"/>
      <c r="C17" s="110"/>
      <c r="D17" s="32"/>
      <c r="E17" s="32"/>
      <c r="F17" s="32"/>
      <c r="G17" s="32"/>
      <c r="H17" s="32">
        <f>Tabelle25[[#This Row],[Entfernung (km) einfach]]*2</f>
        <v>0</v>
      </c>
      <c r="I17" s="32"/>
      <c r="J17" s="148"/>
      <c r="K17" s="18">
        <f>IF(Tabelle25[[#This Row],[Verkehrsmittel]]="Bus",Tabelle25[[#This Row],[Entfernung (km) gesamt]],0)*Tabelle25[[#This Row],[Anzahl Studierende ]]</f>
        <v>0</v>
      </c>
      <c r="L17" s="18">
        <f>IF(Tabelle25[[#This Row],[Verkehrsmittel]]="Bahn",Tabelle25[[#This Row],[Anzahl Studierende ]]*Tabelle25[[#This Row],[Entfernung (km) gesamt]],0)</f>
        <v>0</v>
      </c>
      <c r="M17" s="18">
        <f>IF(Tabelle25[[#This Row],[Verkehrsmittel]]="PKW",Tabelle25[[#This Row],[Anzahl Studierende ]]*Tabelle25[[#This Row],[Entfernung (km) gesamt]],0)</f>
        <v>0</v>
      </c>
      <c r="N17" s="18">
        <f>IF(Tabelle25[[#This Row],[Verkehrsmittel]]="Flug", IF(AND(Tabelle25[[#This Row],[Entfernung (km) einfach]]&lt;500),Tabelle25[[#This Row],[Entfernung (km) gesamt]]), 0)*Tabelle25[[#This Row],[Anzahl Studierende ]]</f>
        <v>0</v>
      </c>
      <c r="O17" s="18">
        <f>IF(Tabelle25[[#This Row],[Verkehrsmittel]]="Flug", IF(AND(Tabelle25[[#This Row],[Entfernung (km) einfach]]&gt;500,Tabelle25[[#This Row],[Entfernung (km) einfach]]&lt;1000),Tabelle25[[#This Row],[Entfernung (km) gesamt]], 0), 0)*Tabelle25[[#This Row],[Anzahl Studierende ]]</f>
        <v>0</v>
      </c>
      <c r="P17" s="18">
        <f>IF(Tabelle25[[#This Row],[Verkehrsmittel]]="Flug", IF(AND(Tabelle25[[#This Row],[Entfernung (km) einfach]]&gt;1000,Tabelle25[[#This Row],[Entfernung (km) einfach]]&lt;2000),Tabelle25[[#This Row],[Entfernung (km) gesamt]], 0), 0)*Tabelle25[[#This Row],[Anzahl Studierende ]]</f>
        <v>0</v>
      </c>
      <c r="Q17" s="18">
        <f>IF(Tabelle25[[#This Row],[Verkehrsmittel]]="Flug", IF(AND(Tabelle25[[#This Row],[Entfernung (km) einfach]]&gt;2000,Tabelle25[[#This Row],[Entfernung (km) einfach]]&lt;5000),Tabelle25[[#This Row],[Entfernung (km) gesamt]], 0), 0)*Tabelle25[[#This Row],[Anzahl Studierende ]]</f>
        <v>0</v>
      </c>
      <c r="R17" s="18">
        <f>IF(Tabelle25[[#This Row],[Verkehrsmittel]]="Flug", IF(AND(Tabelle25[[#This Row],[Entfernung (km) einfach]]&gt;5000,Tabelle25[[#This Row],[Entfernung (km) einfach]]&lt;10000),Tabelle25[[#This Row],[Entfernung (km) gesamt]], 0), 0)*Tabelle25[[#This Row],[Anzahl Studierende ]]</f>
        <v>0</v>
      </c>
      <c r="S17" s="18">
        <f>IF(Tabelle25[[#This Row],[Verkehrsmittel]]="Flug", IF(AND(Tabelle25[[#This Row],[Entfernung (km) einfach]]&gt;10000),Tabelle25[[#This Row],[Entfernung (km) gesamt]]), 0)*Tabelle25[[#This Row],[Anzahl Studierende ]]</f>
        <v>0</v>
      </c>
      <c r="T17" s="18">
        <f>IF(Tabelle25[[#This Row],[Verkehrsmittel]]="Motorrad",Tabelle25[[#This Row],[Entfernung (km) gesamt]],0)*Tabelle25[[#This Row],[Anzahl Studierende ]]</f>
        <v>0</v>
      </c>
      <c r="U17" s="18">
        <f>IF(Tabelle25[[#This Row],[Verkehrsmittel]]="Straßen-, S-, U-Bahn",Tabelle25[[#This Row],[Entfernung (km) gesamt]],0)*Tabelle25[[#This Row],[Anzahl Studierende ]]</f>
        <v>0</v>
      </c>
      <c r="V17" s="18">
        <f>IF(Tabelle25[[#This Row],[Verkehrsmittel]]="Fahrrad",Tabelle25[[#This Row],[Entfernung (km) gesamt]],0)*Tabelle25[[#This Row],[Anzahl Studierende ]]</f>
        <v>0</v>
      </c>
    </row>
    <row r="18" spans="2:22">
      <c r="B18" s="110"/>
      <c r="C18" s="110"/>
      <c r="D18" s="32"/>
      <c r="E18" s="32"/>
      <c r="F18" s="32"/>
      <c r="G18" s="32"/>
      <c r="H18" s="32">
        <f>Tabelle25[[#This Row],[Entfernung (km) einfach]]*2</f>
        <v>0</v>
      </c>
      <c r="I18" s="32"/>
      <c r="J18" s="148"/>
      <c r="K18" s="18">
        <f>IF(Tabelle25[[#This Row],[Verkehrsmittel]]="Bus",Tabelle25[[#This Row],[Entfernung (km) gesamt]],0)*Tabelle25[[#This Row],[Anzahl Studierende ]]</f>
        <v>0</v>
      </c>
      <c r="L18" s="18">
        <f>IF(Tabelle25[[#This Row],[Verkehrsmittel]]="Bahn",Tabelle25[[#This Row],[Anzahl Studierende ]]*Tabelle25[[#This Row],[Entfernung (km) gesamt]],0)</f>
        <v>0</v>
      </c>
      <c r="M18" s="18">
        <f>IF(Tabelle25[[#This Row],[Verkehrsmittel]]="PKW",Tabelle25[[#This Row],[Anzahl Studierende ]]*Tabelle25[[#This Row],[Entfernung (km) gesamt]],0)</f>
        <v>0</v>
      </c>
      <c r="N18" s="18">
        <f>IF(Tabelle25[[#This Row],[Verkehrsmittel]]="Flug", IF(AND(Tabelle25[[#This Row],[Entfernung (km) einfach]]&lt;500),Tabelle25[[#This Row],[Entfernung (km) gesamt]]), 0)*Tabelle25[[#This Row],[Anzahl Studierende ]]</f>
        <v>0</v>
      </c>
      <c r="O18" s="18">
        <f>IF(Tabelle25[[#This Row],[Verkehrsmittel]]="Flug", IF(AND(Tabelle25[[#This Row],[Entfernung (km) einfach]]&gt;500,Tabelle25[[#This Row],[Entfernung (km) einfach]]&lt;1000),Tabelle25[[#This Row],[Entfernung (km) gesamt]], 0), 0)*Tabelle25[[#This Row],[Anzahl Studierende ]]</f>
        <v>0</v>
      </c>
      <c r="P18" s="18">
        <f>IF(Tabelle25[[#This Row],[Verkehrsmittel]]="Flug", IF(AND(Tabelle25[[#This Row],[Entfernung (km) einfach]]&gt;1000,Tabelle25[[#This Row],[Entfernung (km) einfach]]&lt;2000),Tabelle25[[#This Row],[Entfernung (km) gesamt]], 0), 0)*Tabelle25[[#This Row],[Anzahl Studierende ]]</f>
        <v>0</v>
      </c>
      <c r="Q18" s="18">
        <f>IF(Tabelle25[[#This Row],[Verkehrsmittel]]="Flug", IF(AND(Tabelle25[[#This Row],[Entfernung (km) einfach]]&gt;2000,Tabelle25[[#This Row],[Entfernung (km) einfach]]&lt;5000),Tabelle25[[#This Row],[Entfernung (km) gesamt]], 0), 0)*Tabelle25[[#This Row],[Anzahl Studierende ]]</f>
        <v>0</v>
      </c>
      <c r="R18" s="18">
        <f>IF(Tabelle25[[#This Row],[Verkehrsmittel]]="Flug", IF(AND(Tabelle25[[#This Row],[Entfernung (km) einfach]]&gt;5000,Tabelle25[[#This Row],[Entfernung (km) einfach]]&lt;10000),Tabelle25[[#This Row],[Entfernung (km) gesamt]], 0), 0)*Tabelle25[[#This Row],[Anzahl Studierende ]]</f>
        <v>0</v>
      </c>
      <c r="S18" s="18">
        <f>IF(Tabelle25[[#This Row],[Verkehrsmittel]]="Flug", IF(AND(Tabelle25[[#This Row],[Entfernung (km) einfach]]&gt;10000),Tabelle25[[#This Row],[Entfernung (km) gesamt]]), 0)*Tabelle25[[#This Row],[Anzahl Studierende ]]</f>
        <v>0</v>
      </c>
      <c r="T18" s="18">
        <f>IF(Tabelle25[[#This Row],[Verkehrsmittel]]="Motorrad",Tabelle25[[#This Row],[Entfernung (km) gesamt]],0)*Tabelle25[[#This Row],[Anzahl Studierende ]]</f>
        <v>0</v>
      </c>
      <c r="U18" s="18">
        <f>IF(Tabelle25[[#This Row],[Verkehrsmittel]]="Straßen-, S-, U-Bahn",Tabelle25[[#This Row],[Entfernung (km) gesamt]],0)*Tabelle25[[#This Row],[Anzahl Studierende ]]</f>
        <v>0</v>
      </c>
      <c r="V18" s="18">
        <f>IF(Tabelle25[[#This Row],[Verkehrsmittel]]="Fahrrad",Tabelle25[[#This Row],[Entfernung (km) gesamt]],0)*Tabelle25[[#This Row],[Anzahl Studierende ]]</f>
        <v>0</v>
      </c>
    </row>
    <row r="19" spans="2:22">
      <c r="B19" s="110"/>
      <c r="C19" s="110"/>
      <c r="D19" s="32"/>
      <c r="E19" s="32"/>
      <c r="F19" s="32"/>
      <c r="G19" s="32"/>
      <c r="H19" s="32">
        <f>Tabelle25[[#This Row],[Entfernung (km) einfach]]*2</f>
        <v>0</v>
      </c>
      <c r="I19" s="32"/>
      <c r="J19" s="148"/>
      <c r="K19" s="18">
        <f>IF(Tabelle25[[#This Row],[Verkehrsmittel]]="Bus",Tabelle25[[#This Row],[Entfernung (km) gesamt]],0)*Tabelle25[[#This Row],[Anzahl Studierende ]]</f>
        <v>0</v>
      </c>
      <c r="L19" s="18">
        <f>IF(Tabelle25[[#This Row],[Verkehrsmittel]]="Bahn",Tabelle25[[#This Row],[Anzahl Studierende ]]*Tabelle25[[#This Row],[Entfernung (km) gesamt]],0)</f>
        <v>0</v>
      </c>
      <c r="M19" s="18">
        <f>IF(Tabelle25[[#This Row],[Verkehrsmittel]]="PKW",Tabelle25[[#This Row],[Anzahl Studierende ]]*Tabelle25[[#This Row],[Entfernung (km) gesamt]],0)</f>
        <v>0</v>
      </c>
      <c r="N19" s="18">
        <f>IF(Tabelle25[[#This Row],[Verkehrsmittel]]="Flug", IF(AND(Tabelle25[[#This Row],[Entfernung (km) einfach]]&lt;500),Tabelle25[[#This Row],[Entfernung (km) gesamt]]), 0)*Tabelle25[[#This Row],[Anzahl Studierende ]]</f>
        <v>0</v>
      </c>
      <c r="O19" s="18">
        <f>IF(Tabelle25[[#This Row],[Verkehrsmittel]]="Flug", IF(AND(Tabelle25[[#This Row],[Entfernung (km) einfach]]&gt;500,Tabelle25[[#This Row],[Entfernung (km) einfach]]&lt;1000),Tabelle25[[#This Row],[Entfernung (km) gesamt]], 0), 0)*Tabelle25[[#This Row],[Anzahl Studierende ]]</f>
        <v>0</v>
      </c>
      <c r="P19" s="18">
        <f>IF(Tabelle25[[#This Row],[Verkehrsmittel]]="Flug", IF(AND(Tabelle25[[#This Row],[Entfernung (km) einfach]]&gt;1000,Tabelle25[[#This Row],[Entfernung (km) einfach]]&lt;2000),Tabelle25[[#This Row],[Entfernung (km) gesamt]], 0), 0)*Tabelle25[[#This Row],[Anzahl Studierende ]]</f>
        <v>0</v>
      </c>
      <c r="Q19" s="18">
        <f>IF(Tabelle25[[#This Row],[Verkehrsmittel]]="Flug", IF(AND(Tabelle25[[#This Row],[Entfernung (km) einfach]]&gt;2000,Tabelle25[[#This Row],[Entfernung (km) einfach]]&lt;5000),Tabelle25[[#This Row],[Entfernung (km) gesamt]], 0), 0)*Tabelle25[[#This Row],[Anzahl Studierende ]]</f>
        <v>0</v>
      </c>
      <c r="R19" s="18">
        <f>IF(Tabelle25[[#This Row],[Verkehrsmittel]]="Flug", IF(AND(Tabelle25[[#This Row],[Entfernung (km) einfach]]&gt;5000,Tabelle25[[#This Row],[Entfernung (km) einfach]]&lt;10000),Tabelle25[[#This Row],[Entfernung (km) gesamt]], 0), 0)*Tabelle25[[#This Row],[Anzahl Studierende ]]</f>
        <v>0</v>
      </c>
      <c r="S19" s="18">
        <f>IF(Tabelle25[[#This Row],[Verkehrsmittel]]="Flug", IF(AND(Tabelle25[[#This Row],[Entfernung (km) einfach]]&gt;10000),Tabelle25[[#This Row],[Entfernung (km) gesamt]]), 0)*Tabelle25[[#This Row],[Anzahl Studierende ]]</f>
        <v>0</v>
      </c>
      <c r="T19" s="18">
        <f>IF(Tabelle25[[#This Row],[Verkehrsmittel]]="Motorrad",Tabelle25[[#This Row],[Entfernung (km) gesamt]],0)*Tabelle25[[#This Row],[Anzahl Studierende ]]</f>
        <v>0</v>
      </c>
      <c r="U19" s="18">
        <f>IF(Tabelle25[[#This Row],[Verkehrsmittel]]="Straßen-, S-, U-Bahn",Tabelle25[[#This Row],[Entfernung (km) gesamt]],0)*Tabelle25[[#This Row],[Anzahl Studierende ]]</f>
        <v>0</v>
      </c>
      <c r="V19" s="18">
        <f>IF(Tabelle25[[#This Row],[Verkehrsmittel]]="Fahrrad",Tabelle25[[#This Row],[Entfernung (km) gesamt]],0)*Tabelle25[[#This Row],[Anzahl Studierende ]]</f>
        <v>0</v>
      </c>
    </row>
    <row r="20" spans="2:22">
      <c r="B20" s="110"/>
      <c r="C20" s="110"/>
      <c r="D20" s="32"/>
      <c r="E20" s="32"/>
      <c r="F20" s="32"/>
      <c r="G20" s="32"/>
      <c r="H20" s="32">
        <f>Tabelle25[[#This Row],[Entfernung (km) einfach]]*2</f>
        <v>0</v>
      </c>
      <c r="I20" s="32"/>
      <c r="J20" s="148"/>
      <c r="K20" s="18">
        <f>IF(Tabelle25[[#This Row],[Verkehrsmittel]]="Bus",Tabelle25[[#This Row],[Entfernung (km) gesamt]],0)*Tabelle25[[#This Row],[Anzahl Studierende ]]</f>
        <v>0</v>
      </c>
      <c r="L20" s="18">
        <f>IF(Tabelle25[[#This Row],[Verkehrsmittel]]="Bahn",Tabelle25[[#This Row],[Anzahl Studierende ]]*Tabelle25[[#This Row],[Entfernung (km) gesamt]],0)</f>
        <v>0</v>
      </c>
      <c r="M20" s="18">
        <f>IF(Tabelle25[[#This Row],[Verkehrsmittel]]="PKW",Tabelle25[[#This Row],[Anzahl Studierende ]]*Tabelle25[[#This Row],[Entfernung (km) gesamt]],0)</f>
        <v>0</v>
      </c>
      <c r="N20" s="18">
        <f>IF(Tabelle25[[#This Row],[Verkehrsmittel]]="Flug", IF(AND(Tabelle25[[#This Row],[Entfernung (km) einfach]]&lt;500),Tabelle25[[#This Row],[Entfernung (km) gesamt]]), 0)*Tabelle25[[#This Row],[Anzahl Studierende ]]</f>
        <v>0</v>
      </c>
      <c r="O20" s="18">
        <f>IF(Tabelle25[[#This Row],[Verkehrsmittel]]="Flug", IF(AND(Tabelle25[[#This Row],[Entfernung (km) einfach]]&gt;500,Tabelle25[[#This Row],[Entfernung (km) einfach]]&lt;1000),Tabelle25[[#This Row],[Entfernung (km) gesamt]], 0), 0)*Tabelle25[[#This Row],[Anzahl Studierende ]]</f>
        <v>0</v>
      </c>
      <c r="P20" s="18">
        <f>IF(Tabelle25[[#This Row],[Verkehrsmittel]]="Flug", IF(AND(Tabelle25[[#This Row],[Entfernung (km) einfach]]&gt;1000,Tabelle25[[#This Row],[Entfernung (km) einfach]]&lt;2000),Tabelle25[[#This Row],[Entfernung (km) gesamt]], 0), 0)*Tabelle25[[#This Row],[Anzahl Studierende ]]</f>
        <v>0</v>
      </c>
      <c r="Q20" s="18">
        <f>IF(Tabelle25[[#This Row],[Verkehrsmittel]]="Flug", IF(AND(Tabelle25[[#This Row],[Entfernung (km) einfach]]&gt;2000,Tabelle25[[#This Row],[Entfernung (km) einfach]]&lt;5000),Tabelle25[[#This Row],[Entfernung (km) gesamt]], 0), 0)*Tabelle25[[#This Row],[Anzahl Studierende ]]</f>
        <v>0</v>
      </c>
      <c r="R20" s="18">
        <f>IF(Tabelle25[[#This Row],[Verkehrsmittel]]="Flug", IF(AND(Tabelle25[[#This Row],[Entfernung (km) einfach]]&gt;5000,Tabelle25[[#This Row],[Entfernung (km) einfach]]&lt;10000),Tabelle25[[#This Row],[Entfernung (km) gesamt]], 0), 0)*Tabelle25[[#This Row],[Anzahl Studierende ]]</f>
        <v>0</v>
      </c>
      <c r="S20" s="18">
        <f>IF(Tabelle25[[#This Row],[Verkehrsmittel]]="Flug", IF(AND(Tabelle25[[#This Row],[Entfernung (km) einfach]]&gt;10000),Tabelle25[[#This Row],[Entfernung (km) gesamt]]), 0)*Tabelle25[[#This Row],[Anzahl Studierende ]]</f>
        <v>0</v>
      </c>
      <c r="T20" s="18">
        <f>IF(Tabelle25[[#This Row],[Verkehrsmittel]]="Motorrad",Tabelle25[[#This Row],[Entfernung (km) gesamt]],0)*Tabelle25[[#This Row],[Anzahl Studierende ]]</f>
        <v>0</v>
      </c>
      <c r="U20" s="18">
        <f>IF(Tabelle25[[#This Row],[Verkehrsmittel]]="Straßen-, S-, U-Bahn",Tabelle25[[#This Row],[Entfernung (km) gesamt]],0)*Tabelle25[[#This Row],[Anzahl Studierende ]]</f>
        <v>0</v>
      </c>
      <c r="V20" s="18">
        <f>IF(Tabelle25[[#This Row],[Verkehrsmittel]]="Fahrrad",Tabelle25[[#This Row],[Entfernung (km) gesamt]],0)*Tabelle25[[#This Row],[Anzahl Studierende ]]</f>
        <v>0</v>
      </c>
    </row>
    <row r="21" spans="2:22">
      <c r="B21" s="110"/>
      <c r="C21" s="110"/>
      <c r="D21" s="32"/>
      <c r="E21" s="32"/>
      <c r="F21" s="32"/>
      <c r="G21" s="32"/>
      <c r="H21" s="32">
        <f>Tabelle25[[#This Row],[Entfernung (km) einfach]]*2</f>
        <v>0</v>
      </c>
      <c r="I21" s="112"/>
      <c r="J21" s="148"/>
      <c r="K21" s="18">
        <f>IF(Tabelle25[[#This Row],[Verkehrsmittel]]="Bus",Tabelle25[[#This Row],[Entfernung (km) gesamt]],0)*Tabelle25[[#This Row],[Anzahl Studierende ]]</f>
        <v>0</v>
      </c>
      <c r="L21" s="18">
        <f>IF(Tabelle25[[#This Row],[Verkehrsmittel]]="Bahn",Tabelle25[[#This Row],[Anzahl Studierende ]]*Tabelle25[[#This Row],[Entfernung (km) gesamt]],0)</f>
        <v>0</v>
      </c>
      <c r="M21" s="18">
        <f>IF(Tabelle25[[#This Row],[Verkehrsmittel]]="PKW",Tabelle25[[#This Row],[Anzahl Studierende ]]*Tabelle25[[#This Row],[Entfernung (km) gesamt]],0)</f>
        <v>0</v>
      </c>
      <c r="N21" s="18">
        <f>IF(Tabelle25[[#This Row],[Verkehrsmittel]]="Flug", IF(AND(Tabelle25[[#This Row],[Entfernung (km) einfach]]&lt;500),Tabelle25[[#This Row],[Entfernung (km) gesamt]]), 0)*Tabelle25[[#This Row],[Anzahl Studierende ]]</f>
        <v>0</v>
      </c>
      <c r="O21" s="18">
        <f>IF(Tabelle25[[#This Row],[Verkehrsmittel]]="Flug", IF(AND(Tabelle25[[#This Row],[Entfernung (km) einfach]]&gt;500,Tabelle25[[#This Row],[Entfernung (km) einfach]]&lt;1000),Tabelle25[[#This Row],[Entfernung (km) gesamt]], 0), 0)*Tabelle25[[#This Row],[Anzahl Studierende ]]</f>
        <v>0</v>
      </c>
      <c r="P21" s="18">
        <f>IF(Tabelle25[[#This Row],[Verkehrsmittel]]="Flug", IF(AND(Tabelle25[[#This Row],[Entfernung (km) einfach]]&gt;1000,Tabelle25[[#This Row],[Entfernung (km) einfach]]&lt;2000),Tabelle25[[#This Row],[Entfernung (km) gesamt]], 0), 0)*Tabelle25[[#This Row],[Anzahl Studierende ]]</f>
        <v>0</v>
      </c>
      <c r="Q21" s="18">
        <f>IF(Tabelle25[[#This Row],[Verkehrsmittel]]="Flug", IF(AND(Tabelle25[[#This Row],[Entfernung (km) einfach]]&gt;2000,Tabelle25[[#This Row],[Entfernung (km) einfach]]&lt;5000),Tabelle25[[#This Row],[Entfernung (km) gesamt]], 0), 0)*Tabelle25[[#This Row],[Anzahl Studierende ]]</f>
        <v>0</v>
      </c>
      <c r="R21" s="18">
        <f>IF(Tabelle25[[#This Row],[Verkehrsmittel]]="Flug", IF(AND(Tabelle25[[#This Row],[Entfernung (km) einfach]]&gt;5000,Tabelle25[[#This Row],[Entfernung (km) einfach]]&lt;10000),Tabelle25[[#This Row],[Entfernung (km) gesamt]], 0), 0)*Tabelle25[[#This Row],[Anzahl Studierende ]]</f>
        <v>0</v>
      </c>
      <c r="S21" s="18">
        <f>IF(Tabelle25[[#This Row],[Verkehrsmittel]]="Flug", IF(AND(Tabelle25[[#This Row],[Entfernung (km) einfach]]&gt;10000),Tabelle25[[#This Row],[Entfernung (km) gesamt]]), 0)*Tabelle25[[#This Row],[Anzahl Studierende ]]</f>
        <v>0</v>
      </c>
      <c r="T21" s="18">
        <f>IF(Tabelle25[[#This Row],[Verkehrsmittel]]="Motorrad",Tabelle25[[#This Row],[Entfernung (km) gesamt]],0)*Tabelle25[[#This Row],[Anzahl Studierende ]]</f>
        <v>0</v>
      </c>
      <c r="U21" s="18">
        <f>IF(Tabelle25[[#This Row],[Verkehrsmittel]]="Straßen-, S-, U-Bahn",Tabelle25[[#This Row],[Entfernung (km) gesamt]],0)*Tabelle25[[#This Row],[Anzahl Studierende ]]</f>
        <v>0</v>
      </c>
      <c r="V21" s="18">
        <f>IF(Tabelle25[[#This Row],[Verkehrsmittel]]="Fahrrad",Tabelle25[[#This Row],[Entfernung (km) gesamt]],0)*Tabelle25[[#This Row],[Anzahl Studierende ]]</f>
        <v>0</v>
      </c>
    </row>
    <row r="22" spans="2:22">
      <c r="B22" s="110"/>
      <c r="C22" s="110"/>
      <c r="D22" s="32"/>
      <c r="E22" s="32"/>
      <c r="F22" s="32"/>
      <c r="G22" s="32"/>
      <c r="H22" s="32">
        <f>Tabelle25[[#This Row],[Entfernung (km) einfach]]*2</f>
        <v>0</v>
      </c>
      <c r="I22" s="32"/>
      <c r="J22" s="148"/>
      <c r="K22" s="18">
        <f>IF(Tabelle25[[#This Row],[Verkehrsmittel]]="Bus",Tabelle25[[#This Row],[Entfernung (km) gesamt]],0)*Tabelle25[[#This Row],[Anzahl Studierende ]]</f>
        <v>0</v>
      </c>
      <c r="L22" s="18">
        <f>IF(Tabelle25[[#This Row],[Verkehrsmittel]]="Bahn",Tabelle25[[#This Row],[Anzahl Studierende ]]*Tabelle25[[#This Row],[Entfernung (km) gesamt]],0)</f>
        <v>0</v>
      </c>
      <c r="M22" s="18">
        <f>IF(Tabelle25[[#This Row],[Verkehrsmittel]]="PKW",Tabelle25[[#This Row],[Anzahl Studierende ]]*Tabelle25[[#This Row],[Entfernung (km) gesamt]],0)</f>
        <v>0</v>
      </c>
      <c r="N22" s="18">
        <f>IF(Tabelle25[[#This Row],[Verkehrsmittel]]="Flug", IF(AND(Tabelle25[[#This Row],[Entfernung (km) einfach]]&lt;500),Tabelle25[[#This Row],[Entfernung (km) gesamt]]), 0)*Tabelle25[[#This Row],[Anzahl Studierende ]]</f>
        <v>0</v>
      </c>
      <c r="O22" s="18">
        <f>IF(Tabelle25[[#This Row],[Verkehrsmittel]]="Flug", IF(AND(Tabelle25[[#This Row],[Entfernung (km) einfach]]&gt;500,Tabelle25[[#This Row],[Entfernung (km) einfach]]&lt;1000),Tabelle25[[#This Row],[Entfernung (km) gesamt]], 0), 0)*Tabelle25[[#This Row],[Anzahl Studierende ]]</f>
        <v>0</v>
      </c>
      <c r="P22" s="18">
        <f>IF(Tabelle25[[#This Row],[Verkehrsmittel]]="Flug", IF(AND(Tabelle25[[#This Row],[Entfernung (km) einfach]]&gt;1000,Tabelle25[[#This Row],[Entfernung (km) einfach]]&lt;2000),Tabelle25[[#This Row],[Entfernung (km) gesamt]], 0), 0)*Tabelle25[[#This Row],[Anzahl Studierende ]]</f>
        <v>0</v>
      </c>
      <c r="Q22" s="18">
        <f>IF(Tabelle25[[#This Row],[Verkehrsmittel]]="Flug", IF(AND(Tabelle25[[#This Row],[Entfernung (km) einfach]]&gt;2000,Tabelle25[[#This Row],[Entfernung (km) einfach]]&lt;5000),Tabelle25[[#This Row],[Entfernung (km) gesamt]], 0), 0)*Tabelle25[[#This Row],[Anzahl Studierende ]]</f>
        <v>0</v>
      </c>
      <c r="R22" s="18">
        <f>IF(Tabelle25[[#This Row],[Verkehrsmittel]]="Flug", IF(AND(Tabelle25[[#This Row],[Entfernung (km) einfach]]&gt;5000,Tabelle25[[#This Row],[Entfernung (km) einfach]]&lt;10000),Tabelle25[[#This Row],[Entfernung (km) gesamt]], 0), 0)*Tabelle25[[#This Row],[Anzahl Studierende ]]</f>
        <v>0</v>
      </c>
      <c r="S22" s="18">
        <f>IF(Tabelle25[[#This Row],[Verkehrsmittel]]="Flug", IF(AND(Tabelle25[[#This Row],[Entfernung (km) einfach]]&gt;10000),Tabelle25[[#This Row],[Entfernung (km) gesamt]]), 0)*Tabelle25[[#This Row],[Anzahl Studierende ]]</f>
        <v>0</v>
      </c>
      <c r="T22" s="18">
        <f>IF(Tabelle25[[#This Row],[Verkehrsmittel]]="Motorrad",Tabelle25[[#This Row],[Entfernung (km) gesamt]],0)*Tabelle25[[#This Row],[Anzahl Studierende ]]</f>
        <v>0</v>
      </c>
      <c r="U22" s="18">
        <f>IF(Tabelle25[[#This Row],[Verkehrsmittel]]="Straßen-, S-, U-Bahn",Tabelle25[[#This Row],[Entfernung (km) gesamt]],0)*Tabelle25[[#This Row],[Anzahl Studierende ]]</f>
        <v>0</v>
      </c>
      <c r="V22" s="18">
        <f>IF(Tabelle25[[#This Row],[Verkehrsmittel]]="Fahrrad",Tabelle25[[#This Row],[Entfernung (km) gesamt]],0)*Tabelle25[[#This Row],[Anzahl Studierende ]]</f>
        <v>0</v>
      </c>
    </row>
    <row r="23" spans="2:22">
      <c r="B23" s="110"/>
      <c r="C23" s="110"/>
      <c r="D23" s="32"/>
      <c r="E23" s="32"/>
      <c r="F23" s="32"/>
      <c r="G23" s="32"/>
      <c r="H23" s="32">
        <f>Tabelle25[[#This Row],[Entfernung (km) einfach]]*2</f>
        <v>0</v>
      </c>
      <c r="I23" s="32"/>
      <c r="J23" s="148"/>
      <c r="K23" s="18">
        <f>IF(Tabelle25[[#This Row],[Verkehrsmittel]]="Bus",Tabelle25[[#This Row],[Entfernung (km) gesamt]],0)*Tabelle25[[#This Row],[Anzahl Studierende ]]</f>
        <v>0</v>
      </c>
      <c r="L23" s="18">
        <f>IF(Tabelle25[[#This Row],[Verkehrsmittel]]="Bahn",Tabelle25[[#This Row],[Anzahl Studierende ]]*Tabelle25[[#This Row],[Entfernung (km) gesamt]],0)</f>
        <v>0</v>
      </c>
      <c r="M23" s="18">
        <f>IF(Tabelle25[[#This Row],[Verkehrsmittel]]="PKW",Tabelle25[[#This Row],[Anzahl Studierende ]]*Tabelle25[[#This Row],[Entfernung (km) gesamt]],0)</f>
        <v>0</v>
      </c>
      <c r="N23" s="18">
        <f>IF(Tabelle25[[#This Row],[Verkehrsmittel]]="Flug", IF(AND(Tabelle25[[#This Row],[Entfernung (km) einfach]]&lt;500),Tabelle25[[#This Row],[Entfernung (km) gesamt]]), 0)*Tabelle25[[#This Row],[Anzahl Studierende ]]</f>
        <v>0</v>
      </c>
      <c r="O23" s="18">
        <f>IF(Tabelle25[[#This Row],[Verkehrsmittel]]="Flug", IF(AND(Tabelle25[[#This Row],[Entfernung (km) einfach]]&gt;500,Tabelle25[[#This Row],[Entfernung (km) einfach]]&lt;1000),Tabelle25[[#This Row],[Entfernung (km) gesamt]], 0), 0)*Tabelle25[[#This Row],[Anzahl Studierende ]]</f>
        <v>0</v>
      </c>
      <c r="P23" s="18">
        <f>IF(Tabelle25[[#This Row],[Verkehrsmittel]]="Flug", IF(AND(Tabelle25[[#This Row],[Entfernung (km) einfach]]&gt;1000,Tabelle25[[#This Row],[Entfernung (km) einfach]]&lt;2000),Tabelle25[[#This Row],[Entfernung (km) gesamt]], 0), 0)*Tabelle25[[#This Row],[Anzahl Studierende ]]</f>
        <v>0</v>
      </c>
      <c r="Q23" s="18">
        <f>IF(Tabelle25[[#This Row],[Verkehrsmittel]]="Flug", IF(AND(Tabelle25[[#This Row],[Entfernung (km) einfach]]&gt;2000,Tabelle25[[#This Row],[Entfernung (km) einfach]]&lt;5000),Tabelle25[[#This Row],[Entfernung (km) gesamt]], 0), 0)*Tabelle25[[#This Row],[Anzahl Studierende ]]</f>
        <v>0</v>
      </c>
      <c r="R23" s="18">
        <f>IF(Tabelle25[[#This Row],[Verkehrsmittel]]="Flug", IF(AND(Tabelle25[[#This Row],[Entfernung (km) einfach]]&gt;5000,Tabelle25[[#This Row],[Entfernung (km) einfach]]&lt;10000),Tabelle25[[#This Row],[Entfernung (km) gesamt]], 0), 0)*Tabelle25[[#This Row],[Anzahl Studierende ]]</f>
        <v>0</v>
      </c>
      <c r="S23" s="18">
        <f>IF(Tabelle25[[#This Row],[Verkehrsmittel]]="Flug", IF(AND(Tabelle25[[#This Row],[Entfernung (km) einfach]]&gt;10000),Tabelle25[[#This Row],[Entfernung (km) gesamt]]), 0)*Tabelle25[[#This Row],[Anzahl Studierende ]]</f>
        <v>0</v>
      </c>
      <c r="T23" s="18">
        <f>IF(Tabelle25[[#This Row],[Verkehrsmittel]]="Motorrad",Tabelle25[[#This Row],[Entfernung (km) gesamt]],0)*Tabelle25[[#This Row],[Anzahl Studierende ]]</f>
        <v>0</v>
      </c>
      <c r="U23" s="18">
        <f>IF(Tabelle25[[#This Row],[Verkehrsmittel]]="Straßen-, S-, U-Bahn",Tabelle25[[#This Row],[Entfernung (km) gesamt]],0)*Tabelle25[[#This Row],[Anzahl Studierende ]]</f>
        <v>0</v>
      </c>
      <c r="V23" s="18">
        <f>IF(Tabelle25[[#This Row],[Verkehrsmittel]]="Fahrrad",Tabelle25[[#This Row],[Entfernung (km) gesamt]],0)*Tabelle25[[#This Row],[Anzahl Studierende ]]</f>
        <v>0</v>
      </c>
    </row>
    <row r="24" spans="2:22">
      <c r="B24" s="110"/>
      <c r="C24" s="110"/>
      <c r="D24" s="32"/>
      <c r="E24" s="32"/>
      <c r="F24" s="32"/>
      <c r="G24" s="32"/>
      <c r="H24" s="32">
        <f>Tabelle25[[#This Row],[Entfernung (km) einfach]]*2</f>
        <v>0</v>
      </c>
      <c r="I24" s="112"/>
      <c r="J24" s="148"/>
      <c r="K24" s="18">
        <f>IF(Tabelle25[[#This Row],[Verkehrsmittel]]="Bus",Tabelle25[[#This Row],[Entfernung (km) gesamt]],0)*Tabelle25[[#This Row],[Anzahl Studierende ]]</f>
        <v>0</v>
      </c>
      <c r="L24" s="18">
        <f>IF(Tabelle25[[#This Row],[Verkehrsmittel]]="Bahn",Tabelle25[[#This Row],[Anzahl Studierende ]]*Tabelle25[[#This Row],[Entfernung (km) gesamt]],0)</f>
        <v>0</v>
      </c>
      <c r="M24" s="18">
        <f>IF(Tabelle25[[#This Row],[Verkehrsmittel]]="PKW",Tabelle25[[#This Row],[Anzahl Studierende ]]*Tabelle25[[#This Row],[Entfernung (km) gesamt]],0)</f>
        <v>0</v>
      </c>
      <c r="N24" s="18">
        <f>IF(Tabelle25[[#This Row],[Verkehrsmittel]]="Flug", IF(AND(Tabelle25[[#This Row],[Entfernung (km) einfach]]&lt;500),Tabelle25[[#This Row],[Entfernung (km) gesamt]]), 0)*Tabelle25[[#This Row],[Anzahl Studierende ]]</f>
        <v>0</v>
      </c>
      <c r="O24" s="18">
        <f>IF(Tabelle25[[#This Row],[Verkehrsmittel]]="Flug", IF(AND(Tabelle25[[#This Row],[Entfernung (km) einfach]]&gt;500,Tabelle25[[#This Row],[Entfernung (km) einfach]]&lt;1000),Tabelle25[[#This Row],[Entfernung (km) gesamt]], 0), 0)*Tabelle25[[#This Row],[Anzahl Studierende ]]</f>
        <v>0</v>
      </c>
      <c r="P24" s="18">
        <f>IF(Tabelle25[[#This Row],[Verkehrsmittel]]="Flug", IF(AND(Tabelle25[[#This Row],[Entfernung (km) einfach]]&gt;1000,Tabelle25[[#This Row],[Entfernung (km) einfach]]&lt;2000),Tabelle25[[#This Row],[Entfernung (km) gesamt]], 0), 0)*Tabelle25[[#This Row],[Anzahl Studierende ]]</f>
        <v>0</v>
      </c>
      <c r="Q24" s="18">
        <f>IF(Tabelle25[[#This Row],[Verkehrsmittel]]="Flug", IF(AND(Tabelle25[[#This Row],[Entfernung (km) einfach]]&gt;2000,Tabelle25[[#This Row],[Entfernung (km) einfach]]&lt;5000),Tabelle25[[#This Row],[Entfernung (km) gesamt]], 0), 0)*Tabelle25[[#This Row],[Anzahl Studierende ]]</f>
        <v>0</v>
      </c>
      <c r="R24" s="18">
        <f>IF(Tabelle25[[#This Row],[Verkehrsmittel]]="Flug", IF(AND(Tabelle25[[#This Row],[Entfernung (km) einfach]]&gt;5000,Tabelle25[[#This Row],[Entfernung (km) einfach]]&lt;10000),Tabelle25[[#This Row],[Entfernung (km) gesamt]], 0), 0)*Tabelle25[[#This Row],[Anzahl Studierende ]]</f>
        <v>0</v>
      </c>
      <c r="S24" s="18">
        <f>IF(Tabelle25[[#This Row],[Verkehrsmittel]]="Flug", IF(AND(Tabelle25[[#This Row],[Entfernung (km) einfach]]&gt;10000),Tabelle25[[#This Row],[Entfernung (km) gesamt]]), 0)*Tabelle25[[#This Row],[Anzahl Studierende ]]</f>
        <v>0</v>
      </c>
      <c r="T24" s="18">
        <f>IF(Tabelle25[[#This Row],[Verkehrsmittel]]="Motorrad",Tabelle25[[#This Row],[Entfernung (km) gesamt]],0)*Tabelle25[[#This Row],[Anzahl Studierende ]]</f>
        <v>0</v>
      </c>
      <c r="U24" s="18">
        <f>IF(Tabelle25[[#This Row],[Verkehrsmittel]]="Straßen-, S-, U-Bahn",Tabelle25[[#This Row],[Entfernung (km) gesamt]],0)*Tabelle25[[#This Row],[Anzahl Studierende ]]</f>
        <v>0</v>
      </c>
      <c r="V24" s="18">
        <f>IF(Tabelle25[[#This Row],[Verkehrsmittel]]="Fahrrad",Tabelle25[[#This Row],[Entfernung (km) gesamt]],0)*Tabelle25[[#This Row],[Anzahl Studierende ]]</f>
        <v>0</v>
      </c>
    </row>
    <row r="25" spans="2:22">
      <c r="B25" s="110"/>
      <c r="C25" s="110"/>
      <c r="D25" s="32"/>
      <c r="E25" s="32"/>
      <c r="F25" s="32"/>
      <c r="G25" s="32"/>
      <c r="H25" s="32">
        <f>Tabelle25[[#This Row],[Entfernung (km) einfach]]*2</f>
        <v>0</v>
      </c>
      <c r="I25" s="112"/>
      <c r="J25" s="148"/>
      <c r="K25" s="18">
        <f>IF(Tabelle25[[#This Row],[Verkehrsmittel]]="Bus",Tabelle25[[#This Row],[Entfernung (km) gesamt]],0)*Tabelle25[[#This Row],[Anzahl Studierende ]]</f>
        <v>0</v>
      </c>
      <c r="L25" s="18">
        <f>IF(Tabelle25[[#This Row],[Verkehrsmittel]]="Bahn",Tabelle25[[#This Row],[Anzahl Studierende ]]*Tabelle25[[#This Row],[Entfernung (km) gesamt]],0)</f>
        <v>0</v>
      </c>
      <c r="M25" s="18">
        <f>IF(Tabelle25[[#This Row],[Verkehrsmittel]]="PKW",Tabelle25[[#This Row],[Anzahl Studierende ]]*Tabelle25[[#This Row],[Entfernung (km) gesamt]],0)</f>
        <v>0</v>
      </c>
      <c r="N25" s="18">
        <f>IF(Tabelle25[[#This Row],[Verkehrsmittel]]="Flug", IF(AND(Tabelle25[[#This Row],[Entfernung (km) einfach]]&lt;500),Tabelle25[[#This Row],[Entfernung (km) gesamt]]), 0)*Tabelle25[[#This Row],[Anzahl Studierende ]]</f>
        <v>0</v>
      </c>
      <c r="O25" s="18">
        <f>IF(Tabelle25[[#This Row],[Verkehrsmittel]]="Flug", IF(AND(Tabelle25[[#This Row],[Entfernung (km) einfach]]&gt;500,Tabelle25[[#This Row],[Entfernung (km) einfach]]&lt;1000),Tabelle25[[#This Row],[Entfernung (km) gesamt]], 0), 0)*Tabelle25[[#This Row],[Anzahl Studierende ]]</f>
        <v>0</v>
      </c>
      <c r="P25" s="18">
        <f>IF(Tabelle25[[#This Row],[Verkehrsmittel]]="Flug", IF(AND(Tabelle25[[#This Row],[Entfernung (km) einfach]]&gt;1000,Tabelle25[[#This Row],[Entfernung (km) einfach]]&lt;2000),Tabelle25[[#This Row],[Entfernung (km) gesamt]], 0), 0)*Tabelle25[[#This Row],[Anzahl Studierende ]]</f>
        <v>0</v>
      </c>
      <c r="Q25" s="18">
        <f>IF(Tabelle25[[#This Row],[Verkehrsmittel]]="Flug", IF(AND(Tabelle25[[#This Row],[Entfernung (km) einfach]]&gt;2000,Tabelle25[[#This Row],[Entfernung (km) einfach]]&lt;5000),Tabelle25[[#This Row],[Entfernung (km) gesamt]], 0), 0)*Tabelle25[[#This Row],[Anzahl Studierende ]]</f>
        <v>0</v>
      </c>
      <c r="R25" s="18">
        <f>IF(Tabelle25[[#This Row],[Verkehrsmittel]]="Flug", IF(AND(Tabelle25[[#This Row],[Entfernung (km) einfach]]&gt;5000,Tabelle25[[#This Row],[Entfernung (km) einfach]]&lt;10000),Tabelle25[[#This Row],[Entfernung (km) gesamt]], 0), 0)*Tabelle25[[#This Row],[Anzahl Studierende ]]</f>
        <v>0</v>
      </c>
      <c r="S25" s="18">
        <f>IF(Tabelle25[[#This Row],[Verkehrsmittel]]="Flug", IF(AND(Tabelle25[[#This Row],[Entfernung (km) einfach]]&gt;10000),Tabelle25[[#This Row],[Entfernung (km) gesamt]]), 0)*Tabelle25[[#This Row],[Anzahl Studierende ]]</f>
        <v>0</v>
      </c>
      <c r="T25" s="18">
        <f>IF(Tabelle25[[#This Row],[Verkehrsmittel]]="Motorrad",Tabelle25[[#This Row],[Entfernung (km) gesamt]],0)*Tabelle25[[#This Row],[Anzahl Studierende ]]</f>
        <v>0</v>
      </c>
      <c r="U25" s="18">
        <f>IF(Tabelle25[[#This Row],[Verkehrsmittel]]="Straßen-, S-, U-Bahn",Tabelle25[[#This Row],[Entfernung (km) gesamt]],0)*Tabelle25[[#This Row],[Anzahl Studierende ]]</f>
        <v>0</v>
      </c>
      <c r="V25" s="18">
        <f>IF(Tabelle25[[#This Row],[Verkehrsmittel]]="Fahrrad",Tabelle25[[#This Row],[Entfernung (km) gesamt]],0)*Tabelle25[[#This Row],[Anzahl Studierende ]]</f>
        <v>0</v>
      </c>
    </row>
    <row r="26" spans="2:22">
      <c r="B26" s="110"/>
      <c r="C26" s="110"/>
      <c r="D26" s="112"/>
      <c r="E26" s="32"/>
      <c r="F26" s="32"/>
      <c r="G26" s="32"/>
      <c r="H26" s="32">
        <f>Tabelle25[[#This Row],[Entfernung (km) einfach]]*2</f>
        <v>0</v>
      </c>
      <c r="I26" s="32"/>
      <c r="J26" s="148"/>
      <c r="K26" s="18">
        <f>IF(Tabelle25[[#This Row],[Verkehrsmittel]]="Bus",Tabelle25[[#This Row],[Entfernung (km) gesamt]],0)*Tabelle25[[#This Row],[Anzahl Studierende ]]</f>
        <v>0</v>
      </c>
      <c r="L26" s="18">
        <f>IF(Tabelle25[[#This Row],[Verkehrsmittel]]="Bahn",Tabelle25[[#This Row],[Anzahl Studierende ]]*Tabelle25[[#This Row],[Entfernung (km) gesamt]],0)</f>
        <v>0</v>
      </c>
      <c r="M26" s="18">
        <f>IF(Tabelle25[[#This Row],[Verkehrsmittel]]="PKW",Tabelle25[[#This Row],[Anzahl Studierende ]]*Tabelle25[[#This Row],[Entfernung (km) gesamt]],0)</f>
        <v>0</v>
      </c>
      <c r="N26" s="18">
        <f>IF(Tabelle25[[#This Row],[Verkehrsmittel]]="Flug", IF(AND(Tabelle25[[#This Row],[Entfernung (km) einfach]]&lt;500),Tabelle25[[#This Row],[Entfernung (km) gesamt]]), 0)*Tabelle25[[#This Row],[Anzahl Studierende ]]</f>
        <v>0</v>
      </c>
      <c r="O26" s="18">
        <f>IF(Tabelle25[[#This Row],[Verkehrsmittel]]="Flug", IF(AND(Tabelle25[[#This Row],[Entfernung (km) einfach]]&gt;500,Tabelle25[[#This Row],[Entfernung (km) einfach]]&lt;1000),Tabelle25[[#This Row],[Entfernung (km) gesamt]], 0), 0)*Tabelle25[[#This Row],[Anzahl Studierende ]]</f>
        <v>0</v>
      </c>
      <c r="P26" s="18">
        <f>IF(Tabelle25[[#This Row],[Verkehrsmittel]]="Flug", IF(AND(Tabelle25[[#This Row],[Entfernung (km) einfach]]&gt;1000,Tabelle25[[#This Row],[Entfernung (km) einfach]]&lt;2000),Tabelle25[[#This Row],[Entfernung (km) gesamt]], 0), 0)*Tabelle25[[#This Row],[Anzahl Studierende ]]</f>
        <v>0</v>
      </c>
      <c r="Q26" s="18">
        <f>IF(Tabelle25[[#This Row],[Verkehrsmittel]]="Flug", IF(AND(Tabelle25[[#This Row],[Entfernung (km) einfach]]&gt;2000,Tabelle25[[#This Row],[Entfernung (km) einfach]]&lt;5000),Tabelle25[[#This Row],[Entfernung (km) gesamt]], 0), 0)*Tabelle25[[#This Row],[Anzahl Studierende ]]</f>
        <v>0</v>
      </c>
      <c r="R26" s="18">
        <f>IF(Tabelle25[[#This Row],[Verkehrsmittel]]="Flug", IF(AND(Tabelle25[[#This Row],[Entfernung (km) einfach]]&gt;5000,Tabelle25[[#This Row],[Entfernung (km) einfach]]&lt;10000),Tabelle25[[#This Row],[Entfernung (km) gesamt]], 0), 0)*Tabelle25[[#This Row],[Anzahl Studierende ]]</f>
        <v>0</v>
      </c>
      <c r="S26" s="18">
        <f>IF(Tabelle25[[#This Row],[Verkehrsmittel]]="Flug", IF(AND(Tabelle25[[#This Row],[Entfernung (km) einfach]]&gt;10000),Tabelle25[[#This Row],[Entfernung (km) gesamt]]), 0)*Tabelle25[[#This Row],[Anzahl Studierende ]]</f>
        <v>0</v>
      </c>
      <c r="T26" s="18">
        <f>IF(Tabelle25[[#This Row],[Verkehrsmittel]]="Motorrad",Tabelle25[[#This Row],[Entfernung (km) gesamt]],0)*Tabelle25[[#This Row],[Anzahl Studierende ]]</f>
        <v>0</v>
      </c>
      <c r="U26" s="18">
        <f>IF(Tabelle25[[#This Row],[Verkehrsmittel]]="Straßen-, S-, U-Bahn",Tabelle25[[#This Row],[Entfernung (km) gesamt]],0)*Tabelle25[[#This Row],[Anzahl Studierende ]]</f>
        <v>0</v>
      </c>
      <c r="V26" s="18">
        <f>IF(Tabelle25[[#This Row],[Verkehrsmittel]]="Fahrrad",Tabelle25[[#This Row],[Entfernung (km) gesamt]],0)*Tabelle25[[#This Row],[Anzahl Studierende ]]</f>
        <v>0</v>
      </c>
    </row>
    <row r="27" spans="2:22">
      <c r="B27" s="110"/>
      <c r="C27" s="110"/>
      <c r="D27" s="32"/>
      <c r="E27" s="32"/>
      <c r="F27" s="32"/>
      <c r="G27" s="32"/>
      <c r="H27" s="32">
        <f>Tabelle25[[#This Row],[Entfernung (km) einfach]]*2</f>
        <v>0</v>
      </c>
      <c r="I27" s="32"/>
      <c r="J27" s="148"/>
      <c r="K27" s="18">
        <f>IF(Tabelle25[[#This Row],[Verkehrsmittel]]="Bus",Tabelle25[[#This Row],[Entfernung (km) gesamt]],0)*Tabelle25[[#This Row],[Anzahl Studierende ]]</f>
        <v>0</v>
      </c>
      <c r="L27" s="18">
        <f>IF(Tabelle25[[#This Row],[Verkehrsmittel]]="Bahn",Tabelle25[[#This Row],[Anzahl Studierende ]]*Tabelle25[[#This Row],[Entfernung (km) gesamt]],0)</f>
        <v>0</v>
      </c>
      <c r="M27" s="18">
        <f>IF(Tabelle25[[#This Row],[Verkehrsmittel]]="PKW",Tabelle25[[#This Row],[Anzahl Studierende ]]*Tabelle25[[#This Row],[Entfernung (km) gesamt]],0)</f>
        <v>0</v>
      </c>
      <c r="N27" s="18">
        <f>IF(Tabelle25[[#This Row],[Verkehrsmittel]]="Flug", IF(AND(Tabelle25[[#This Row],[Entfernung (km) einfach]]&lt;500),Tabelle25[[#This Row],[Entfernung (km) gesamt]]), 0)*Tabelle25[[#This Row],[Anzahl Studierende ]]</f>
        <v>0</v>
      </c>
      <c r="O27" s="18">
        <f>IF(Tabelle25[[#This Row],[Verkehrsmittel]]="Flug", IF(AND(Tabelle25[[#This Row],[Entfernung (km) einfach]]&gt;500,Tabelle25[[#This Row],[Entfernung (km) einfach]]&lt;1000),Tabelle25[[#This Row],[Entfernung (km) gesamt]], 0), 0)*Tabelle25[[#This Row],[Anzahl Studierende ]]</f>
        <v>0</v>
      </c>
      <c r="P27" s="18">
        <f>IF(Tabelle25[[#This Row],[Verkehrsmittel]]="Flug", IF(AND(Tabelle25[[#This Row],[Entfernung (km) einfach]]&gt;1000,Tabelle25[[#This Row],[Entfernung (km) einfach]]&lt;2000),Tabelle25[[#This Row],[Entfernung (km) gesamt]], 0), 0)*Tabelle25[[#This Row],[Anzahl Studierende ]]</f>
        <v>0</v>
      </c>
      <c r="Q27" s="18">
        <f>IF(Tabelle25[[#This Row],[Verkehrsmittel]]="Flug", IF(AND(Tabelle25[[#This Row],[Entfernung (km) einfach]]&gt;2000,Tabelle25[[#This Row],[Entfernung (km) einfach]]&lt;5000),Tabelle25[[#This Row],[Entfernung (km) gesamt]], 0), 0)*Tabelle25[[#This Row],[Anzahl Studierende ]]</f>
        <v>0</v>
      </c>
      <c r="R27" s="18">
        <f>IF(Tabelle25[[#This Row],[Verkehrsmittel]]="Flug", IF(AND(Tabelle25[[#This Row],[Entfernung (km) einfach]]&gt;5000,Tabelle25[[#This Row],[Entfernung (km) einfach]]&lt;10000),Tabelle25[[#This Row],[Entfernung (km) gesamt]], 0), 0)*Tabelle25[[#This Row],[Anzahl Studierende ]]</f>
        <v>0</v>
      </c>
      <c r="S27" s="18">
        <f>IF(Tabelle25[[#This Row],[Verkehrsmittel]]="Flug", IF(AND(Tabelle25[[#This Row],[Entfernung (km) einfach]]&gt;10000),Tabelle25[[#This Row],[Entfernung (km) gesamt]]), 0)*Tabelle25[[#This Row],[Anzahl Studierende ]]</f>
        <v>0</v>
      </c>
      <c r="T27" s="18">
        <f>IF(Tabelle25[[#This Row],[Verkehrsmittel]]="Motorrad",Tabelle25[[#This Row],[Entfernung (km) gesamt]],0)*Tabelle25[[#This Row],[Anzahl Studierende ]]</f>
        <v>0</v>
      </c>
      <c r="U27" s="18">
        <f>IF(Tabelle25[[#This Row],[Verkehrsmittel]]="Straßen-, S-, U-Bahn",Tabelle25[[#This Row],[Entfernung (km) gesamt]],0)*Tabelle25[[#This Row],[Anzahl Studierende ]]</f>
        <v>0</v>
      </c>
      <c r="V27" s="18">
        <f>IF(Tabelle25[[#This Row],[Verkehrsmittel]]="Fahrrad",Tabelle25[[#This Row],[Entfernung (km) gesamt]],0)*Tabelle25[[#This Row],[Anzahl Studierende ]]</f>
        <v>0</v>
      </c>
    </row>
    <row r="28" spans="2:22">
      <c r="B28" s="110"/>
      <c r="C28" s="110"/>
      <c r="D28" s="149"/>
      <c r="E28" s="32"/>
      <c r="F28" s="32"/>
      <c r="G28" s="32"/>
      <c r="H28" s="32">
        <f>Tabelle25[[#This Row],[Entfernung (km) einfach]]*2</f>
        <v>0</v>
      </c>
      <c r="I28" s="32"/>
      <c r="J28" s="148"/>
      <c r="K28" s="18">
        <f>IF(Tabelle25[[#This Row],[Verkehrsmittel]]="Bus",Tabelle25[[#This Row],[Entfernung (km) gesamt]],0)*Tabelle25[[#This Row],[Anzahl Studierende ]]</f>
        <v>0</v>
      </c>
      <c r="L28" s="18">
        <f>IF(Tabelle25[[#This Row],[Verkehrsmittel]]="Bahn",Tabelle25[[#This Row],[Anzahl Studierende ]]*Tabelle25[[#This Row],[Entfernung (km) gesamt]],0)</f>
        <v>0</v>
      </c>
      <c r="M28" s="18">
        <f>IF(Tabelle25[[#This Row],[Verkehrsmittel]]="PKW",Tabelle25[[#This Row],[Anzahl Studierende ]]*Tabelle25[[#This Row],[Entfernung (km) gesamt]],0)</f>
        <v>0</v>
      </c>
      <c r="N28" s="18">
        <f>IF(Tabelle25[[#This Row],[Verkehrsmittel]]="Flug", IF(AND(Tabelle25[[#This Row],[Entfernung (km) einfach]]&lt;500),Tabelle25[[#This Row],[Entfernung (km) gesamt]]), 0)*Tabelle25[[#This Row],[Anzahl Studierende ]]</f>
        <v>0</v>
      </c>
      <c r="O28" s="18">
        <f>IF(Tabelle25[[#This Row],[Verkehrsmittel]]="Flug", IF(AND(Tabelle25[[#This Row],[Entfernung (km) einfach]]&gt;500,Tabelle25[[#This Row],[Entfernung (km) einfach]]&lt;1000),Tabelle25[[#This Row],[Entfernung (km) gesamt]], 0), 0)*Tabelle25[[#This Row],[Anzahl Studierende ]]</f>
        <v>0</v>
      </c>
      <c r="P28" s="18">
        <f>IF(Tabelle25[[#This Row],[Verkehrsmittel]]="Flug", IF(AND(Tabelle25[[#This Row],[Entfernung (km) einfach]]&gt;1000,Tabelle25[[#This Row],[Entfernung (km) einfach]]&lt;2000),Tabelle25[[#This Row],[Entfernung (km) gesamt]], 0), 0)*Tabelle25[[#This Row],[Anzahl Studierende ]]</f>
        <v>0</v>
      </c>
      <c r="Q28" s="18">
        <f>IF(Tabelle25[[#This Row],[Verkehrsmittel]]="Flug", IF(AND(Tabelle25[[#This Row],[Entfernung (km) einfach]]&gt;2000,Tabelle25[[#This Row],[Entfernung (km) einfach]]&lt;5000),Tabelle25[[#This Row],[Entfernung (km) gesamt]], 0), 0)*Tabelle25[[#This Row],[Anzahl Studierende ]]</f>
        <v>0</v>
      </c>
      <c r="R28" s="18">
        <f>IF(Tabelle25[[#This Row],[Verkehrsmittel]]="Flug", IF(AND(Tabelle25[[#This Row],[Entfernung (km) einfach]]&gt;5000,Tabelle25[[#This Row],[Entfernung (km) einfach]]&lt;10000),Tabelle25[[#This Row],[Entfernung (km) gesamt]], 0), 0)*Tabelle25[[#This Row],[Anzahl Studierende ]]</f>
        <v>0</v>
      </c>
      <c r="S28" s="18">
        <f>IF(Tabelle25[[#This Row],[Verkehrsmittel]]="Flug", IF(AND(Tabelle25[[#This Row],[Entfernung (km) einfach]]&gt;10000),Tabelle25[[#This Row],[Entfernung (km) gesamt]]), 0)*Tabelle25[[#This Row],[Anzahl Studierende ]]</f>
        <v>0</v>
      </c>
      <c r="T28" s="18">
        <f>IF(Tabelle25[[#This Row],[Verkehrsmittel]]="Motorrad",Tabelle25[[#This Row],[Entfernung (km) gesamt]],0)*Tabelle25[[#This Row],[Anzahl Studierende ]]</f>
        <v>0</v>
      </c>
      <c r="U28" s="18">
        <f>IF(Tabelle25[[#This Row],[Verkehrsmittel]]="Straßen-, S-, U-Bahn",Tabelle25[[#This Row],[Entfernung (km) gesamt]],0)*Tabelle25[[#This Row],[Anzahl Studierende ]]</f>
        <v>0</v>
      </c>
      <c r="V28" s="18">
        <f>IF(Tabelle25[[#This Row],[Verkehrsmittel]]="Fahrrad",Tabelle25[[#This Row],[Entfernung (km) gesamt]],0)*Tabelle25[[#This Row],[Anzahl Studierende ]]</f>
        <v>0</v>
      </c>
    </row>
    <row r="29" spans="2:22">
      <c r="B29" s="110"/>
      <c r="C29" s="110"/>
      <c r="D29" s="32"/>
      <c r="E29" s="32"/>
      <c r="F29" s="32"/>
      <c r="G29" s="32"/>
      <c r="H29" s="32">
        <f>Tabelle25[[#This Row],[Entfernung (km) einfach]]*2</f>
        <v>0</v>
      </c>
      <c r="I29" s="32"/>
      <c r="J29" s="148"/>
      <c r="K29" s="18">
        <f>IF(Tabelle25[[#This Row],[Verkehrsmittel]]="Bus",Tabelle25[[#This Row],[Entfernung (km) gesamt]],0)*Tabelle25[[#This Row],[Anzahl Studierende ]]</f>
        <v>0</v>
      </c>
      <c r="L29" s="18">
        <f>IF(Tabelle25[[#This Row],[Verkehrsmittel]]="Bahn",Tabelle25[[#This Row],[Anzahl Studierende ]]*Tabelle25[[#This Row],[Entfernung (km) gesamt]],0)</f>
        <v>0</v>
      </c>
      <c r="M29" s="18">
        <f>IF(Tabelle25[[#This Row],[Verkehrsmittel]]="PKW",Tabelle25[[#This Row],[Anzahl Studierende ]]*Tabelle25[[#This Row],[Entfernung (km) gesamt]],0)</f>
        <v>0</v>
      </c>
      <c r="N29" s="18">
        <f>IF(Tabelle25[[#This Row],[Verkehrsmittel]]="Flug", IF(AND(Tabelle25[[#This Row],[Entfernung (km) einfach]]&lt;500),Tabelle25[[#This Row],[Entfernung (km) gesamt]]), 0)*Tabelle25[[#This Row],[Anzahl Studierende ]]</f>
        <v>0</v>
      </c>
      <c r="O29" s="18">
        <f>IF(Tabelle25[[#This Row],[Verkehrsmittel]]="Flug", IF(AND(Tabelle25[[#This Row],[Entfernung (km) einfach]]&gt;500,Tabelle25[[#This Row],[Entfernung (km) einfach]]&lt;1000),Tabelle25[[#This Row],[Entfernung (km) gesamt]], 0), 0)*Tabelle25[[#This Row],[Anzahl Studierende ]]</f>
        <v>0</v>
      </c>
      <c r="P29" s="18">
        <f>IF(Tabelle25[[#This Row],[Verkehrsmittel]]="Flug", IF(AND(Tabelle25[[#This Row],[Entfernung (km) einfach]]&gt;1000,Tabelle25[[#This Row],[Entfernung (km) einfach]]&lt;2000),Tabelle25[[#This Row],[Entfernung (km) gesamt]], 0), 0)*Tabelle25[[#This Row],[Anzahl Studierende ]]</f>
        <v>0</v>
      </c>
      <c r="Q29" s="18">
        <f>IF(Tabelle25[[#This Row],[Verkehrsmittel]]="Flug", IF(AND(Tabelle25[[#This Row],[Entfernung (km) einfach]]&gt;2000,Tabelle25[[#This Row],[Entfernung (km) einfach]]&lt;5000),Tabelle25[[#This Row],[Entfernung (km) gesamt]], 0), 0)*Tabelle25[[#This Row],[Anzahl Studierende ]]</f>
        <v>0</v>
      </c>
      <c r="R29" s="18">
        <f>IF(Tabelle25[[#This Row],[Verkehrsmittel]]="Flug", IF(AND(Tabelle25[[#This Row],[Entfernung (km) einfach]]&gt;5000,Tabelle25[[#This Row],[Entfernung (km) einfach]]&lt;10000),Tabelle25[[#This Row],[Entfernung (km) gesamt]], 0), 0)*Tabelle25[[#This Row],[Anzahl Studierende ]]</f>
        <v>0</v>
      </c>
      <c r="S29" s="18">
        <f>IF(Tabelle25[[#This Row],[Verkehrsmittel]]="Flug", IF(AND(Tabelle25[[#This Row],[Entfernung (km) einfach]]&gt;10000),Tabelle25[[#This Row],[Entfernung (km) gesamt]]), 0)*Tabelle25[[#This Row],[Anzahl Studierende ]]</f>
        <v>0</v>
      </c>
      <c r="T29" s="18">
        <f>IF(Tabelle25[[#This Row],[Verkehrsmittel]]="Motorrad",Tabelle25[[#This Row],[Entfernung (km) gesamt]],0)*Tabelle25[[#This Row],[Anzahl Studierende ]]</f>
        <v>0</v>
      </c>
      <c r="U29" s="18">
        <f>IF(Tabelle25[[#This Row],[Verkehrsmittel]]="Straßen-, S-, U-Bahn",Tabelle25[[#This Row],[Entfernung (km) gesamt]],0)*Tabelle25[[#This Row],[Anzahl Studierende ]]</f>
        <v>0</v>
      </c>
      <c r="V29" s="18">
        <f>IF(Tabelle25[[#This Row],[Verkehrsmittel]]="Fahrrad",Tabelle25[[#This Row],[Entfernung (km) gesamt]],0)*Tabelle25[[#This Row],[Anzahl Studierende ]]</f>
        <v>0</v>
      </c>
    </row>
    <row r="30" spans="2:22">
      <c r="B30" s="110"/>
      <c r="C30" s="110"/>
      <c r="D30" s="32"/>
      <c r="E30" s="32"/>
      <c r="F30" s="32"/>
      <c r="G30" s="32"/>
      <c r="H30" s="32">
        <f>Tabelle25[[#This Row],[Entfernung (km) einfach]]*2</f>
        <v>0</v>
      </c>
      <c r="I30" s="32"/>
      <c r="J30" s="148"/>
      <c r="K30" s="18">
        <f>IF(Tabelle25[[#This Row],[Verkehrsmittel]]="Bus",Tabelle25[[#This Row],[Entfernung (km) gesamt]],0)*Tabelle25[[#This Row],[Anzahl Studierende ]]</f>
        <v>0</v>
      </c>
      <c r="L30" s="18">
        <f>IF(Tabelle25[[#This Row],[Verkehrsmittel]]="Bahn",Tabelle25[[#This Row],[Anzahl Studierende ]]*Tabelle25[[#This Row],[Entfernung (km) gesamt]],0)</f>
        <v>0</v>
      </c>
      <c r="M30" s="18">
        <f>IF(Tabelle25[[#This Row],[Verkehrsmittel]]="PKW",Tabelle25[[#This Row],[Anzahl Studierende ]]*Tabelle25[[#This Row],[Entfernung (km) gesamt]],0)</f>
        <v>0</v>
      </c>
      <c r="N30" s="18">
        <f>IF(Tabelle25[[#This Row],[Verkehrsmittel]]="Flug", IF(AND(Tabelle25[[#This Row],[Entfernung (km) einfach]]&lt;500),Tabelle25[[#This Row],[Entfernung (km) gesamt]]), 0)*Tabelle25[[#This Row],[Anzahl Studierende ]]</f>
        <v>0</v>
      </c>
      <c r="O30" s="18">
        <f>IF(Tabelle25[[#This Row],[Verkehrsmittel]]="Flug", IF(AND(Tabelle25[[#This Row],[Entfernung (km) einfach]]&gt;500,Tabelle25[[#This Row],[Entfernung (km) einfach]]&lt;1000),Tabelle25[[#This Row],[Entfernung (km) gesamt]], 0), 0)*Tabelle25[[#This Row],[Anzahl Studierende ]]</f>
        <v>0</v>
      </c>
      <c r="P30" s="18">
        <f>IF(Tabelle25[[#This Row],[Verkehrsmittel]]="Flug", IF(AND(Tabelle25[[#This Row],[Entfernung (km) einfach]]&gt;1000,Tabelle25[[#This Row],[Entfernung (km) einfach]]&lt;2000),Tabelle25[[#This Row],[Entfernung (km) gesamt]], 0), 0)*Tabelle25[[#This Row],[Anzahl Studierende ]]</f>
        <v>0</v>
      </c>
      <c r="Q30" s="18">
        <f>IF(Tabelle25[[#This Row],[Verkehrsmittel]]="Flug", IF(AND(Tabelle25[[#This Row],[Entfernung (km) einfach]]&gt;2000,Tabelle25[[#This Row],[Entfernung (km) einfach]]&lt;5000),Tabelle25[[#This Row],[Entfernung (km) gesamt]], 0), 0)*Tabelle25[[#This Row],[Anzahl Studierende ]]</f>
        <v>0</v>
      </c>
      <c r="R30" s="18">
        <f>IF(Tabelle25[[#This Row],[Verkehrsmittel]]="Flug", IF(AND(Tabelle25[[#This Row],[Entfernung (km) einfach]]&gt;5000,Tabelle25[[#This Row],[Entfernung (km) einfach]]&lt;10000),Tabelle25[[#This Row],[Entfernung (km) gesamt]], 0), 0)*Tabelle25[[#This Row],[Anzahl Studierende ]]</f>
        <v>0</v>
      </c>
      <c r="S30" s="18">
        <f>IF(Tabelle25[[#This Row],[Verkehrsmittel]]="Flug", IF(AND(Tabelle25[[#This Row],[Entfernung (km) einfach]]&gt;10000),Tabelle25[[#This Row],[Entfernung (km) gesamt]]), 0)*Tabelle25[[#This Row],[Anzahl Studierende ]]</f>
        <v>0</v>
      </c>
      <c r="T30" s="18">
        <f>IF(Tabelle25[[#This Row],[Verkehrsmittel]]="Motorrad",Tabelle25[[#This Row],[Entfernung (km) gesamt]],0)*Tabelle25[[#This Row],[Anzahl Studierende ]]</f>
        <v>0</v>
      </c>
      <c r="U30" s="18">
        <f>IF(Tabelle25[[#This Row],[Verkehrsmittel]]="Straßen-, S-, U-Bahn",Tabelle25[[#This Row],[Entfernung (km) gesamt]],0)*Tabelle25[[#This Row],[Anzahl Studierende ]]</f>
        <v>0</v>
      </c>
      <c r="V30" s="18">
        <f>IF(Tabelle25[[#This Row],[Verkehrsmittel]]="Fahrrad",Tabelle25[[#This Row],[Entfernung (km) gesamt]],0)*Tabelle25[[#This Row],[Anzahl Studierende ]]</f>
        <v>0</v>
      </c>
    </row>
    <row r="31" spans="2:22" s="2" customFormat="1">
      <c r="B31" s="150"/>
      <c r="C31" s="150"/>
      <c r="D31" s="151"/>
      <c r="E31" s="152"/>
      <c r="F31" s="152"/>
      <c r="G31" s="32"/>
      <c r="H31" s="32">
        <f>Tabelle25[[#This Row],[Entfernung (km) einfach]]*2</f>
        <v>0</v>
      </c>
      <c r="I31" s="153"/>
      <c r="J31" s="154"/>
      <c r="K31" s="38">
        <f>IF(Tabelle25[[#This Row],[Verkehrsmittel]]="Bus",Tabelle25[[#This Row],[Entfernung (km) gesamt]],0)*Tabelle25[[#This Row],[Anzahl Studierende ]]</f>
        <v>0</v>
      </c>
      <c r="L31" s="38">
        <f>IF(Tabelle25[[#This Row],[Verkehrsmittel]]="Bahn",Tabelle25[[#This Row],[Anzahl Studierende ]]*Tabelle25[[#This Row],[Entfernung (km) gesamt]],0)</f>
        <v>0</v>
      </c>
      <c r="M31" s="38">
        <f>IF(Tabelle25[[#This Row],[Verkehrsmittel]]="PKW",Tabelle25[[#This Row],[Anzahl Studierende ]]*Tabelle25[[#This Row],[Entfernung (km) gesamt]],0)</f>
        <v>0</v>
      </c>
      <c r="N31" s="38">
        <f>IF(Tabelle25[[#This Row],[Verkehrsmittel]]="Flug", IF(AND(Tabelle25[[#This Row],[Entfernung (km) einfach]]&lt;500),Tabelle25[[#This Row],[Entfernung (km) gesamt]]), 0)*Tabelle25[[#This Row],[Anzahl Studierende ]]</f>
        <v>0</v>
      </c>
      <c r="O31" s="38">
        <f>IF(Tabelle25[[#This Row],[Verkehrsmittel]]="Flug", IF(AND(Tabelle25[[#This Row],[Entfernung (km) einfach]]&gt;500,Tabelle25[[#This Row],[Entfernung (km) einfach]]&lt;1000),Tabelle25[[#This Row],[Entfernung (km) gesamt]], 0), 0)*Tabelle25[[#This Row],[Anzahl Studierende ]]</f>
        <v>0</v>
      </c>
      <c r="P31" s="38">
        <f>IF(Tabelle25[[#This Row],[Verkehrsmittel]]="Flug", IF(AND(Tabelle25[[#This Row],[Entfernung (km) einfach]]&gt;1000,Tabelle25[[#This Row],[Entfernung (km) einfach]]&lt;2000),Tabelle25[[#This Row],[Entfernung (km) gesamt]], 0), 0)*Tabelle25[[#This Row],[Anzahl Studierende ]]</f>
        <v>0</v>
      </c>
      <c r="Q31" s="38">
        <f>IF(Tabelle25[[#This Row],[Verkehrsmittel]]="Flug", IF(AND(Tabelle25[[#This Row],[Entfernung (km) einfach]]&gt;2000,Tabelle25[[#This Row],[Entfernung (km) einfach]]&lt;5000),Tabelle25[[#This Row],[Entfernung (km) gesamt]], 0), 0)*Tabelle25[[#This Row],[Anzahl Studierende ]]</f>
        <v>0</v>
      </c>
      <c r="R31" s="38">
        <f>IF(Tabelle25[[#This Row],[Verkehrsmittel]]="Flug", IF(AND(Tabelle25[[#This Row],[Entfernung (km) einfach]]&gt;5000,Tabelle25[[#This Row],[Entfernung (km) einfach]]&lt;10000),Tabelle25[[#This Row],[Entfernung (km) gesamt]], 0), 0)*Tabelle25[[#This Row],[Anzahl Studierende ]]</f>
        <v>0</v>
      </c>
      <c r="S31" s="38">
        <f>IF(Tabelle25[[#This Row],[Verkehrsmittel]]="Flug", IF(AND(Tabelle25[[#This Row],[Entfernung (km) einfach]]&gt;10000),Tabelle25[[#This Row],[Entfernung (km) gesamt]]), 0)*Tabelle25[[#This Row],[Anzahl Studierende ]]</f>
        <v>0</v>
      </c>
      <c r="T31" s="38">
        <f>IF(Tabelle25[[#This Row],[Verkehrsmittel]]="Motorrad",Tabelle25[[#This Row],[Entfernung (km) gesamt]],0)*Tabelle25[[#This Row],[Anzahl Studierende ]]</f>
        <v>0</v>
      </c>
      <c r="U31" s="38">
        <f>IF(Tabelle25[[#This Row],[Verkehrsmittel]]="Straßen-, S-, U-Bahn",Tabelle25[[#This Row],[Entfernung (km) gesamt]],0)*Tabelle25[[#This Row],[Anzahl Studierende ]]</f>
        <v>0</v>
      </c>
      <c r="V31" s="38">
        <f>IF(Tabelle25[[#This Row],[Verkehrsmittel]]="Fahrrad",Tabelle25[[#This Row],[Entfernung (km) gesamt]],0)*Tabelle25[[#This Row],[Anzahl Studierende ]]</f>
        <v>0</v>
      </c>
    </row>
    <row r="32" spans="2:22" s="2" customFormat="1">
      <c r="B32" s="150"/>
      <c r="C32" s="150"/>
      <c r="D32" s="151"/>
      <c r="E32" s="152"/>
      <c r="F32" s="152"/>
      <c r="G32" s="32"/>
      <c r="H32" s="32">
        <f>Tabelle25[[#This Row],[Entfernung (km) einfach]]*2</f>
        <v>0</v>
      </c>
      <c r="I32" s="153"/>
      <c r="J32" s="154"/>
      <c r="K32" s="38">
        <f>IF(Tabelle25[[#This Row],[Verkehrsmittel]]="Bus",Tabelle25[[#This Row],[Entfernung (km) gesamt]],0)*Tabelle25[[#This Row],[Anzahl Studierende ]]</f>
        <v>0</v>
      </c>
      <c r="L32" s="38">
        <f>IF(Tabelle25[[#This Row],[Verkehrsmittel]]="Bahn",Tabelle25[[#This Row],[Anzahl Studierende ]]*Tabelle25[[#This Row],[Entfernung (km) gesamt]],0)</f>
        <v>0</v>
      </c>
      <c r="M32" s="38">
        <f>IF(Tabelle25[[#This Row],[Verkehrsmittel]]="PKW",Tabelle25[[#This Row],[Anzahl Studierende ]]*Tabelle25[[#This Row],[Entfernung (km) gesamt]],0)</f>
        <v>0</v>
      </c>
      <c r="N32" s="38">
        <f>IF(Tabelle25[[#This Row],[Verkehrsmittel]]="Flug", IF(AND(Tabelle25[[#This Row],[Entfernung (km) einfach]]&lt;500),Tabelle25[[#This Row],[Entfernung (km) gesamt]]), 0)*Tabelle25[[#This Row],[Anzahl Studierende ]]</f>
        <v>0</v>
      </c>
      <c r="O32" s="38">
        <f>IF(Tabelle25[[#This Row],[Verkehrsmittel]]="Flug", IF(AND(Tabelle25[[#This Row],[Entfernung (km) einfach]]&gt;500,Tabelle25[[#This Row],[Entfernung (km) einfach]]&lt;1000),Tabelle25[[#This Row],[Entfernung (km) gesamt]], 0), 0)*Tabelle25[[#This Row],[Anzahl Studierende ]]</f>
        <v>0</v>
      </c>
      <c r="P32" s="38">
        <f>IF(Tabelle25[[#This Row],[Verkehrsmittel]]="Flug", IF(AND(Tabelle25[[#This Row],[Entfernung (km) einfach]]&gt;1000,Tabelle25[[#This Row],[Entfernung (km) einfach]]&lt;2000),Tabelle25[[#This Row],[Entfernung (km) gesamt]], 0), 0)*Tabelle25[[#This Row],[Anzahl Studierende ]]</f>
        <v>0</v>
      </c>
      <c r="Q32" s="38">
        <f>IF(Tabelle25[[#This Row],[Verkehrsmittel]]="Flug", IF(AND(Tabelle25[[#This Row],[Entfernung (km) einfach]]&gt;2000,Tabelle25[[#This Row],[Entfernung (km) einfach]]&lt;5000),Tabelle25[[#This Row],[Entfernung (km) gesamt]], 0), 0)*Tabelle25[[#This Row],[Anzahl Studierende ]]</f>
        <v>0</v>
      </c>
      <c r="R32" s="38">
        <f>IF(Tabelle25[[#This Row],[Verkehrsmittel]]="Flug", IF(AND(Tabelle25[[#This Row],[Entfernung (km) einfach]]&gt;5000,Tabelle25[[#This Row],[Entfernung (km) einfach]]&lt;10000),Tabelle25[[#This Row],[Entfernung (km) gesamt]], 0), 0)*Tabelle25[[#This Row],[Anzahl Studierende ]]</f>
        <v>0</v>
      </c>
      <c r="S32" s="38">
        <f>IF(Tabelle25[[#This Row],[Verkehrsmittel]]="Flug", IF(AND(Tabelle25[[#This Row],[Entfernung (km) einfach]]&gt;10000),Tabelle25[[#This Row],[Entfernung (km) gesamt]]), 0)*Tabelle25[[#This Row],[Anzahl Studierende ]]</f>
        <v>0</v>
      </c>
      <c r="T32" s="38">
        <f>IF(Tabelle25[[#This Row],[Verkehrsmittel]]="Motorrad",Tabelle25[[#This Row],[Entfernung (km) gesamt]],0)*Tabelle25[[#This Row],[Anzahl Studierende ]]</f>
        <v>0</v>
      </c>
      <c r="U32" s="38">
        <f>IF(Tabelle25[[#This Row],[Verkehrsmittel]]="Straßen-, S-, U-Bahn",Tabelle25[[#This Row],[Entfernung (km) gesamt]],0)*Tabelle25[[#This Row],[Anzahl Studierende ]]</f>
        <v>0</v>
      </c>
      <c r="V32" s="38">
        <f>IF(Tabelle25[[#This Row],[Verkehrsmittel]]="Fahrrad",Tabelle25[[#This Row],[Entfernung (km) gesamt]],0)*Tabelle25[[#This Row],[Anzahl Studierende ]]</f>
        <v>0</v>
      </c>
    </row>
    <row r="33" spans="2:22">
      <c r="B33" s="110"/>
      <c r="C33" s="110"/>
      <c r="D33" s="32"/>
      <c r="E33" s="32"/>
      <c r="F33" s="32"/>
      <c r="G33" s="32"/>
      <c r="H33" s="32">
        <f>Tabelle25[[#This Row],[Entfernung (km) einfach]]*2</f>
        <v>0</v>
      </c>
      <c r="I33" s="32"/>
      <c r="J33" s="148"/>
      <c r="K33" s="18">
        <f>IF(Tabelle25[[#This Row],[Verkehrsmittel]]="Bus",Tabelle25[[#This Row],[Entfernung (km) gesamt]],0)*Tabelle25[[#This Row],[Anzahl Studierende ]]</f>
        <v>0</v>
      </c>
      <c r="L33" s="18">
        <f>IF(Tabelle25[[#This Row],[Verkehrsmittel]]="Bahn",Tabelle25[[#This Row],[Anzahl Studierende ]]*Tabelle25[[#This Row],[Entfernung (km) gesamt]],0)</f>
        <v>0</v>
      </c>
      <c r="M33" s="18">
        <f>IF(Tabelle25[[#This Row],[Verkehrsmittel]]="PKW",Tabelle25[[#This Row],[Anzahl Studierende ]]*Tabelle25[[#This Row],[Entfernung (km) gesamt]],0)</f>
        <v>0</v>
      </c>
      <c r="N33" s="18">
        <f>IF(Tabelle25[[#This Row],[Verkehrsmittel]]="Flug", IF(AND(Tabelle25[[#This Row],[Entfernung (km) einfach]]&lt;500),Tabelle25[[#This Row],[Entfernung (km) gesamt]]), 0)*Tabelle25[[#This Row],[Anzahl Studierende ]]</f>
        <v>0</v>
      </c>
      <c r="O33" s="18">
        <f>IF(Tabelle25[[#This Row],[Verkehrsmittel]]="Flug", IF(AND(Tabelle25[[#This Row],[Entfernung (km) einfach]]&gt;500,Tabelle25[[#This Row],[Entfernung (km) einfach]]&lt;1000),Tabelle25[[#This Row],[Entfernung (km) gesamt]], 0), 0)*Tabelle25[[#This Row],[Anzahl Studierende ]]</f>
        <v>0</v>
      </c>
      <c r="P33" s="18">
        <f>IF(Tabelle25[[#This Row],[Verkehrsmittel]]="Flug", IF(AND(Tabelle25[[#This Row],[Entfernung (km) einfach]]&gt;1000,Tabelle25[[#This Row],[Entfernung (km) einfach]]&lt;2000),Tabelle25[[#This Row],[Entfernung (km) gesamt]], 0), 0)*Tabelle25[[#This Row],[Anzahl Studierende ]]</f>
        <v>0</v>
      </c>
      <c r="Q33" s="18">
        <f>IF(Tabelle25[[#This Row],[Verkehrsmittel]]="Flug", IF(AND(Tabelle25[[#This Row],[Entfernung (km) einfach]]&gt;2000,Tabelle25[[#This Row],[Entfernung (km) einfach]]&lt;5000),Tabelle25[[#This Row],[Entfernung (km) gesamt]], 0), 0)*Tabelle25[[#This Row],[Anzahl Studierende ]]</f>
        <v>0</v>
      </c>
      <c r="R33" s="18">
        <f>IF(Tabelle25[[#This Row],[Verkehrsmittel]]="Flug", IF(AND(Tabelle25[[#This Row],[Entfernung (km) einfach]]&gt;5000,Tabelle25[[#This Row],[Entfernung (km) einfach]]&lt;10000),Tabelle25[[#This Row],[Entfernung (km) gesamt]], 0), 0)*Tabelle25[[#This Row],[Anzahl Studierende ]]</f>
        <v>0</v>
      </c>
      <c r="S33" s="18">
        <f>IF(Tabelle25[[#This Row],[Verkehrsmittel]]="Flug", IF(AND(Tabelle25[[#This Row],[Entfernung (km) einfach]]&gt;10000),Tabelle25[[#This Row],[Entfernung (km) gesamt]]), 0)*Tabelle25[[#This Row],[Anzahl Studierende ]]</f>
        <v>0</v>
      </c>
      <c r="T33" s="18">
        <f>IF(Tabelle25[[#This Row],[Verkehrsmittel]]="Motorrad",Tabelle25[[#This Row],[Entfernung (km) gesamt]],0)*Tabelle25[[#This Row],[Anzahl Studierende ]]</f>
        <v>0</v>
      </c>
      <c r="U33" s="18">
        <f>IF(Tabelle25[[#This Row],[Verkehrsmittel]]="Straßen-, S-, U-Bahn",Tabelle25[[#This Row],[Entfernung (km) gesamt]],0)*Tabelle25[[#This Row],[Anzahl Studierende ]]</f>
        <v>0</v>
      </c>
      <c r="V33" s="18">
        <f>IF(Tabelle25[[#This Row],[Verkehrsmittel]]="Fahrrad",Tabelle25[[#This Row],[Entfernung (km) gesamt]],0)*Tabelle25[[#This Row],[Anzahl Studierende ]]</f>
        <v>0</v>
      </c>
    </row>
    <row r="34" spans="2:22">
      <c r="B34" s="110"/>
      <c r="C34" s="110"/>
      <c r="D34" s="32"/>
      <c r="E34" s="32"/>
      <c r="F34" s="32"/>
      <c r="G34" s="32"/>
      <c r="H34" s="32">
        <f>Tabelle25[[#This Row],[Entfernung (km) einfach]]*2</f>
        <v>0</v>
      </c>
      <c r="I34" s="32"/>
      <c r="J34" s="148"/>
      <c r="K34" s="18">
        <f>IF(Tabelle25[[#This Row],[Verkehrsmittel]]="Bus",Tabelle25[[#This Row],[Entfernung (km) gesamt]],0)*Tabelle25[[#This Row],[Anzahl Studierende ]]</f>
        <v>0</v>
      </c>
      <c r="L34" s="18">
        <f>IF(Tabelle25[[#This Row],[Verkehrsmittel]]="Bahn",Tabelle25[[#This Row],[Anzahl Studierende ]]*Tabelle25[[#This Row],[Entfernung (km) gesamt]],0)</f>
        <v>0</v>
      </c>
      <c r="M34" s="18">
        <f>IF(Tabelle25[[#This Row],[Verkehrsmittel]]="PKW",Tabelle25[[#This Row],[Anzahl Studierende ]]*Tabelle25[[#This Row],[Entfernung (km) gesamt]],0)</f>
        <v>0</v>
      </c>
      <c r="N34" s="18">
        <f>IF(Tabelle25[[#This Row],[Verkehrsmittel]]="Flug", IF(AND(Tabelle25[[#This Row],[Entfernung (km) einfach]]&lt;500),Tabelle25[[#This Row],[Entfernung (km) gesamt]]), 0)*Tabelle25[[#This Row],[Anzahl Studierende ]]</f>
        <v>0</v>
      </c>
      <c r="O34" s="18">
        <f>IF(Tabelle25[[#This Row],[Verkehrsmittel]]="Flug", IF(AND(Tabelle25[[#This Row],[Entfernung (km) einfach]]&gt;500,Tabelle25[[#This Row],[Entfernung (km) einfach]]&lt;1000),Tabelle25[[#This Row],[Entfernung (km) gesamt]], 0), 0)*Tabelle25[[#This Row],[Anzahl Studierende ]]</f>
        <v>0</v>
      </c>
      <c r="P34" s="18">
        <f>IF(Tabelle25[[#This Row],[Verkehrsmittel]]="Flug", IF(AND(Tabelle25[[#This Row],[Entfernung (km) einfach]]&gt;1000,Tabelle25[[#This Row],[Entfernung (km) einfach]]&lt;2000),Tabelle25[[#This Row],[Entfernung (km) gesamt]], 0), 0)*Tabelle25[[#This Row],[Anzahl Studierende ]]</f>
        <v>0</v>
      </c>
      <c r="Q34" s="18">
        <f>IF(Tabelle25[[#This Row],[Verkehrsmittel]]="Flug", IF(AND(Tabelle25[[#This Row],[Entfernung (km) einfach]]&gt;2000,Tabelle25[[#This Row],[Entfernung (km) einfach]]&lt;5000),Tabelle25[[#This Row],[Entfernung (km) gesamt]], 0), 0)*Tabelle25[[#This Row],[Anzahl Studierende ]]</f>
        <v>0</v>
      </c>
      <c r="R34" s="18">
        <f>IF(Tabelle25[[#This Row],[Verkehrsmittel]]="Flug", IF(AND(Tabelle25[[#This Row],[Entfernung (km) einfach]]&gt;5000,Tabelle25[[#This Row],[Entfernung (km) einfach]]&lt;10000),Tabelle25[[#This Row],[Entfernung (km) gesamt]], 0), 0)*Tabelle25[[#This Row],[Anzahl Studierende ]]</f>
        <v>0</v>
      </c>
      <c r="S34" s="18">
        <f>IF(Tabelle25[[#This Row],[Verkehrsmittel]]="Flug", IF(AND(Tabelle25[[#This Row],[Entfernung (km) einfach]]&gt;10000),Tabelle25[[#This Row],[Entfernung (km) gesamt]]), 0)*Tabelle25[[#This Row],[Anzahl Studierende ]]</f>
        <v>0</v>
      </c>
      <c r="T34" s="18">
        <f>IF(Tabelle25[[#This Row],[Verkehrsmittel]]="Motorrad",Tabelle25[[#This Row],[Entfernung (km) gesamt]],0)*Tabelle25[[#This Row],[Anzahl Studierende ]]</f>
        <v>0</v>
      </c>
      <c r="U34" s="18">
        <f>IF(Tabelle25[[#This Row],[Verkehrsmittel]]="Straßen-, S-, U-Bahn",Tabelle25[[#This Row],[Entfernung (km) gesamt]],0)*Tabelle25[[#This Row],[Anzahl Studierende ]]</f>
        <v>0</v>
      </c>
      <c r="V34" s="18">
        <f>IF(Tabelle25[[#This Row],[Verkehrsmittel]]="Fahrrad",Tabelle25[[#This Row],[Entfernung (km) gesamt]],0)*Tabelle25[[#This Row],[Anzahl Studierende ]]</f>
        <v>0</v>
      </c>
    </row>
    <row r="35" spans="2:22">
      <c r="B35" s="110"/>
      <c r="C35" s="110"/>
      <c r="D35" s="32"/>
      <c r="E35" s="32"/>
      <c r="F35" s="32"/>
      <c r="G35" s="32"/>
      <c r="H35" s="32">
        <f>Tabelle25[[#This Row],[Entfernung (km) einfach]]*2</f>
        <v>0</v>
      </c>
      <c r="I35" s="32"/>
      <c r="J35" s="148"/>
      <c r="K35" s="18">
        <f>IF(Tabelle25[[#This Row],[Verkehrsmittel]]="Bus",Tabelle25[[#This Row],[Entfernung (km) gesamt]],0)*Tabelle25[[#This Row],[Anzahl Studierende ]]</f>
        <v>0</v>
      </c>
      <c r="L35" s="18">
        <f>IF(Tabelle25[[#This Row],[Verkehrsmittel]]="Bahn",Tabelle25[[#This Row],[Anzahl Studierende ]]*Tabelle25[[#This Row],[Entfernung (km) gesamt]],0)</f>
        <v>0</v>
      </c>
      <c r="M35" s="18">
        <f>IF(Tabelle25[[#This Row],[Verkehrsmittel]]="PKW",Tabelle25[[#This Row],[Anzahl Studierende ]]*Tabelle25[[#This Row],[Entfernung (km) gesamt]],0)</f>
        <v>0</v>
      </c>
      <c r="N35" s="18">
        <f>IF(Tabelle25[[#This Row],[Verkehrsmittel]]="Flug", IF(AND(Tabelle25[[#This Row],[Entfernung (km) einfach]]&lt;500),Tabelle25[[#This Row],[Entfernung (km) gesamt]]), 0)*Tabelle25[[#This Row],[Anzahl Studierende ]]</f>
        <v>0</v>
      </c>
      <c r="O35" s="18">
        <f>IF(Tabelle25[[#This Row],[Verkehrsmittel]]="Flug", IF(AND(Tabelle25[[#This Row],[Entfernung (km) einfach]]&gt;500,Tabelle25[[#This Row],[Entfernung (km) einfach]]&lt;1000),Tabelle25[[#This Row],[Entfernung (km) gesamt]], 0), 0)*Tabelle25[[#This Row],[Anzahl Studierende ]]</f>
        <v>0</v>
      </c>
      <c r="P35" s="18">
        <f>IF(Tabelle25[[#This Row],[Verkehrsmittel]]="Flug", IF(AND(Tabelle25[[#This Row],[Entfernung (km) einfach]]&gt;1000,Tabelle25[[#This Row],[Entfernung (km) einfach]]&lt;2000),Tabelle25[[#This Row],[Entfernung (km) gesamt]], 0), 0)*Tabelle25[[#This Row],[Anzahl Studierende ]]</f>
        <v>0</v>
      </c>
      <c r="Q35" s="18">
        <f>IF(Tabelle25[[#This Row],[Verkehrsmittel]]="Flug", IF(AND(Tabelle25[[#This Row],[Entfernung (km) einfach]]&gt;2000,Tabelle25[[#This Row],[Entfernung (km) einfach]]&lt;5000),Tabelle25[[#This Row],[Entfernung (km) gesamt]], 0), 0)*Tabelle25[[#This Row],[Anzahl Studierende ]]</f>
        <v>0</v>
      </c>
      <c r="R35" s="18">
        <f>IF(Tabelle25[[#This Row],[Verkehrsmittel]]="Flug", IF(AND(Tabelle25[[#This Row],[Entfernung (km) einfach]]&gt;5000,Tabelle25[[#This Row],[Entfernung (km) einfach]]&lt;10000),Tabelle25[[#This Row],[Entfernung (km) gesamt]], 0), 0)*Tabelle25[[#This Row],[Anzahl Studierende ]]</f>
        <v>0</v>
      </c>
      <c r="S35" s="18">
        <f>IF(Tabelle25[[#This Row],[Verkehrsmittel]]="Flug", IF(AND(Tabelle25[[#This Row],[Entfernung (km) einfach]]&gt;10000),Tabelle25[[#This Row],[Entfernung (km) gesamt]]), 0)*Tabelle25[[#This Row],[Anzahl Studierende ]]</f>
        <v>0</v>
      </c>
      <c r="T35" s="18">
        <f>IF(Tabelle25[[#This Row],[Verkehrsmittel]]="Motorrad",Tabelle25[[#This Row],[Entfernung (km) gesamt]],0)*Tabelle25[[#This Row],[Anzahl Studierende ]]</f>
        <v>0</v>
      </c>
      <c r="U35" s="18">
        <f>IF(Tabelle25[[#This Row],[Verkehrsmittel]]="Straßen-, S-, U-Bahn",Tabelle25[[#This Row],[Entfernung (km) gesamt]],0)*Tabelle25[[#This Row],[Anzahl Studierende ]]</f>
        <v>0</v>
      </c>
      <c r="V35" s="18">
        <f>IF(Tabelle25[[#This Row],[Verkehrsmittel]]="Fahrrad",Tabelle25[[#This Row],[Entfernung (km) gesamt]],0)*Tabelle25[[#This Row],[Anzahl Studierende ]]</f>
        <v>0</v>
      </c>
    </row>
    <row r="36" spans="2:22">
      <c r="B36" s="110"/>
      <c r="C36" s="110"/>
      <c r="D36" s="32"/>
      <c r="E36" s="32"/>
      <c r="F36" s="32"/>
      <c r="G36" s="32"/>
      <c r="H36" s="32">
        <f>Tabelle25[[#This Row],[Entfernung (km) einfach]]*2</f>
        <v>0</v>
      </c>
      <c r="I36" s="32"/>
      <c r="J36" s="148"/>
      <c r="K36" s="18">
        <f>IF(Tabelle25[[#This Row],[Verkehrsmittel]]="Bus",Tabelle25[[#This Row],[Entfernung (km) gesamt]],0)*Tabelle25[[#This Row],[Anzahl Studierende ]]</f>
        <v>0</v>
      </c>
      <c r="L36" s="18">
        <f>IF(Tabelle25[[#This Row],[Verkehrsmittel]]="Bahn",Tabelle25[[#This Row],[Anzahl Studierende ]]*Tabelle25[[#This Row],[Entfernung (km) gesamt]],0)</f>
        <v>0</v>
      </c>
      <c r="M36" s="18">
        <f>IF(Tabelle25[[#This Row],[Verkehrsmittel]]="PKW",Tabelle25[[#This Row],[Anzahl Studierende ]]*Tabelle25[[#This Row],[Entfernung (km) gesamt]],0)</f>
        <v>0</v>
      </c>
      <c r="N36" s="18">
        <f>IF(Tabelle25[[#This Row],[Verkehrsmittel]]="Flug", IF(AND(Tabelle25[[#This Row],[Entfernung (km) einfach]]&lt;500),Tabelle25[[#This Row],[Entfernung (km) gesamt]]), 0)*Tabelle25[[#This Row],[Anzahl Studierende ]]</f>
        <v>0</v>
      </c>
      <c r="O36" s="18">
        <f>IF(Tabelle25[[#This Row],[Verkehrsmittel]]="Flug", IF(AND(Tabelle25[[#This Row],[Entfernung (km) einfach]]&gt;500,Tabelle25[[#This Row],[Entfernung (km) einfach]]&lt;1000),Tabelle25[[#This Row],[Entfernung (km) gesamt]], 0), 0)*Tabelle25[[#This Row],[Anzahl Studierende ]]</f>
        <v>0</v>
      </c>
      <c r="P36" s="18">
        <f>IF(Tabelle25[[#This Row],[Verkehrsmittel]]="Flug", IF(AND(Tabelle25[[#This Row],[Entfernung (km) einfach]]&gt;1000,Tabelle25[[#This Row],[Entfernung (km) einfach]]&lt;2000),Tabelle25[[#This Row],[Entfernung (km) gesamt]], 0), 0)*Tabelle25[[#This Row],[Anzahl Studierende ]]</f>
        <v>0</v>
      </c>
      <c r="Q36" s="18">
        <f>IF(Tabelle25[[#This Row],[Verkehrsmittel]]="Flug", IF(AND(Tabelle25[[#This Row],[Entfernung (km) einfach]]&gt;2000,Tabelle25[[#This Row],[Entfernung (km) einfach]]&lt;5000),Tabelle25[[#This Row],[Entfernung (km) gesamt]], 0), 0)*Tabelle25[[#This Row],[Anzahl Studierende ]]</f>
        <v>0</v>
      </c>
      <c r="R36" s="18">
        <f>IF(Tabelle25[[#This Row],[Verkehrsmittel]]="Flug", IF(AND(Tabelle25[[#This Row],[Entfernung (km) einfach]]&gt;5000,Tabelle25[[#This Row],[Entfernung (km) einfach]]&lt;10000),Tabelle25[[#This Row],[Entfernung (km) gesamt]], 0), 0)*Tabelle25[[#This Row],[Anzahl Studierende ]]</f>
        <v>0</v>
      </c>
      <c r="S36" s="18">
        <f>IF(Tabelle25[[#This Row],[Verkehrsmittel]]="Flug", IF(AND(Tabelle25[[#This Row],[Entfernung (km) einfach]]&gt;10000),Tabelle25[[#This Row],[Entfernung (km) gesamt]]), 0)*Tabelle25[[#This Row],[Anzahl Studierende ]]</f>
        <v>0</v>
      </c>
      <c r="T36" s="18">
        <f>IF(Tabelle25[[#This Row],[Verkehrsmittel]]="Motorrad",Tabelle25[[#This Row],[Entfernung (km) gesamt]],0)*Tabelle25[[#This Row],[Anzahl Studierende ]]</f>
        <v>0</v>
      </c>
      <c r="U36" s="18">
        <f>IF(Tabelle25[[#This Row],[Verkehrsmittel]]="Straßen-, S-, U-Bahn",Tabelle25[[#This Row],[Entfernung (km) gesamt]],0)*Tabelle25[[#This Row],[Anzahl Studierende ]]</f>
        <v>0</v>
      </c>
      <c r="V36" s="18">
        <f>IF(Tabelle25[[#This Row],[Verkehrsmittel]]="Fahrrad",Tabelle25[[#This Row],[Entfernung (km) gesamt]],0)*Tabelle25[[#This Row],[Anzahl Studierende ]]</f>
        <v>0</v>
      </c>
    </row>
    <row r="37" spans="2:22">
      <c r="B37" s="110"/>
      <c r="C37" s="110"/>
      <c r="D37" s="32"/>
      <c r="E37" s="32"/>
      <c r="F37" s="32"/>
      <c r="G37" s="32"/>
      <c r="H37" s="32">
        <f>Tabelle25[[#This Row],[Entfernung (km) einfach]]*2</f>
        <v>0</v>
      </c>
      <c r="I37" s="32"/>
      <c r="J37" s="148"/>
      <c r="K37" s="18">
        <f>IF(Tabelle25[[#This Row],[Verkehrsmittel]]="Bus",Tabelle25[[#This Row],[Entfernung (km) gesamt]],0)*Tabelle25[[#This Row],[Anzahl Studierende ]]</f>
        <v>0</v>
      </c>
      <c r="L37" s="18">
        <f>IF(Tabelle25[[#This Row],[Verkehrsmittel]]="Bahn",Tabelle25[[#This Row],[Anzahl Studierende ]]*Tabelle25[[#This Row],[Entfernung (km) gesamt]],0)</f>
        <v>0</v>
      </c>
      <c r="M37" s="18">
        <f>IF(Tabelle25[[#This Row],[Verkehrsmittel]]="PKW",Tabelle25[[#This Row],[Anzahl Studierende ]]*Tabelle25[[#This Row],[Entfernung (km) gesamt]],0)</f>
        <v>0</v>
      </c>
      <c r="N37" s="18">
        <f>IF(Tabelle25[[#This Row],[Verkehrsmittel]]="Flug", IF(AND(Tabelle25[[#This Row],[Entfernung (km) einfach]]&lt;500),Tabelle25[[#This Row],[Entfernung (km) gesamt]]), 0)*Tabelle25[[#This Row],[Anzahl Studierende ]]</f>
        <v>0</v>
      </c>
      <c r="O37" s="18">
        <f>IF(Tabelle25[[#This Row],[Verkehrsmittel]]="Flug", IF(AND(Tabelle25[[#This Row],[Entfernung (km) einfach]]&gt;500,Tabelle25[[#This Row],[Entfernung (km) einfach]]&lt;1000),Tabelle25[[#This Row],[Entfernung (km) gesamt]], 0), 0)*Tabelle25[[#This Row],[Anzahl Studierende ]]</f>
        <v>0</v>
      </c>
      <c r="P37" s="18">
        <f>IF(Tabelle25[[#This Row],[Verkehrsmittel]]="Flug", IF(AND(Tabelle25[[#This Row],[Entfernung (km) einfach]]&gt;1000,Tabelle25[[#This Row],[Entfernung (km) einfach]]&lt;2000),Tabelle25[[#This Row],[Entfernung (km) gesamt]], 0), 0)*Tabelle25[[#This Row],[Anzahl Studierende ]]</f>
        <v>0</v>
      </c>
      <c r="Q37" s="18">
        <f>IF(Tabelle25[[#This Row],[Verkehrsmittel]]="Flug", IF(AND(Tabelle25[[#This Row],[Entfernung (km) einfach]]&gt;2000,Tabelle25[[#This Row],[Entfernung (km) einfach]]&lt;5000),Tabelle25[[#This Row],[Entfernung (km) gesamt]], 0), 0)*Tabelle25[[#This Row],[Anzahl Studierende ]]</f>
        <v>0</v>
      </c>
      <c r="R37" s="18">
        <f>IF(Tabelle25[[#This Row],[Verkehrsmittel]]="Flug", IF(AND(Tabelle25[[#This Row],[Entfernung (km) einfach]]&gt;5000,Tabelle25[[#This Row],[Entfernung (km) einfach]]&lt;10000),Tabelle25[[#This Row],[Entfernung (km) gesamt]], 0), 0)*Tabelle25[[#This Row],[Anzahl Studierende ]]</f>
        <v>0</v>
      </c>
      <c r="S37" s="18">
        <f>IF(Tabelle25[[#This Row],[Verkehrsmittel]]="Flug", IF(AND(Tabelle25[[#This Row],[Entfernung (km) einfach]]&gt;10000),Tabelle25[[#This Row],[Entfernung (km) gesamt]]), 0)*Tabelle25[[#This Row],[Anzahl Studierende ]]</f>
        <v>0</v>
      </c>
      <c r="T37" s="18">
        <f>IF(Tabelle25[[#This Row],[Verkehrsmittel]]="Motorrad",Tabelle25[[#This Row],[Entfernung (km) gesamt]],0)*Tabelle25[[#This Row],[Anzahl Studierende ]]</f>
        <v>0</v>
      </c>
      <c r="U37" s="18">
        <f>IF(Tabelle25[[#This Row],[Verkehrsmittel]]="Straßen-, S-, U-Bahn",Tabelle25[[#This Row],[Entfernung (km) gesamt]],0)*Tabelle25[[#This Row],[Anzahl Studierende ]]</f>
        <v>0</v>
      </c>
      <c r="V37" s="18">
        <f>IF(Tabelle25[[#This Row],[Verkehrsmittel]]="Fahrrad",Tabelle25[[#This Row],[Entfernung (km) gesamt]],0)*Tabelle25[[#This Row],[Anzahl Studierende ]]</f>
        <v>0</v>
      </c>
    </row>
    <row r="38" spans="2:22">
      <c r="B38" s="110"/>
      <c r="C38" s="110"/>
      <c r="D38" s="32"/>
      <c r="E38" s="32"/>
      <c r="F38" s="32"/>
      <c r="G38" s="32"/>
      <c r="H38" s="32">
        <f>Tabelle25[[#This Row],[Entfernung (km) einfach]]*2</f>
        <v>0</v>
      </c>
      <c r="I38" s="32"/>
      <c r="J38" s="148"/>
      <c r="K38" s="18">
        <f>IF(Tabelle25[[#This Row],[Verkehrsmittel]]="Bus",Tabelle25[[#This Row],[Entfernung (km) gesamt]],0)*Tabelle25[[#This Row],[Anzahl Studierende ]]</f>
        <v>0</v>
      </c>
      <c r="L38" s="18">
        <f>IF(Tabelle25[[#This Row],[Verkehrsmittel]]="Bahn",Tabelle25[[#This Row],[Anzahl Studierende ]]*Tabelle25[[#This Row],[Entfernung (km) gesamt]],0)</f>
        <v>0</v>
      </c>
      <c r="M38" s="18">
        <f>IF(Tabelle25[[#This Row],[Verkehrsmittel]]="PKW",Tabelle25[[#This Row],[Anzahl Studierende ]]*Tabelle25[[#This Row],[Entfernung (km) gesamt]],0)</f>
        <v>0</v>
      </c>
      <c r="N38" s="18">
        <f>IF(Tabelle25[[#This Row],[Verkehrsmittel]]="Flug", IF(AND(Tabelle25[[#This Row],[Entfernung (km) einfach]]&lt;500),Tabelle25[[#This Row],[Entfernung (km) gesamt]]), 0)*Tabelle25[[#This Row],[Anzahl Studierende ]]</f>
        <v>0</v>
      </c>
      <c r="O38" s="18">
        <f>IF(Tabelle25[[#This Row],[Verkehrsmittel]]="Flug", IF(AND(Tabelle25[[#This Row],[Entfernung (km) einfach]]&gt;500,Tabelle25[[#This Row],[Entfernung (km) einfach]]&lt;1000),Tabelle25[[#This Row],[Entfernung (km) gesamt]], 0), 0)*Tabelle25[[#This Row],[Anzahl Studierende ]]</f>
        <v>0</v>
      </c>
      <c r="P38" s="18">
        <f>IF(Tabelle25[[#This Row],[Verkehrsmittel]]="Flug", IF(AND(Tabelle25[[#This Row],[Entfernung (km) einfach]]&gt;1000,Tabelle25[[#This Row],[Entfernung (km) einfach]]&lt;2000),Tabelle25[[#This Row],[Entfernung (km) gesamt]], 0), 0)*Tabelle25[[#This Row],[Anzahl Studierende ]]</f>
        <v>0</v>
      </c>
      <c r="Q38" s="18">
        <f>IF(Tabelle25[[#This Row],[Verkehrsmittel]]="Flug", IF(AND(Tabelle25[[#This Row],[Entfernung (km) einfach]]&gt;2000,Tabelle25[[#This Row],[Entfernung (km) einfach]]&lt;5000),Tabelle25[[#This Row],[Entfernung (km) gesamt]], 0), 0)*Tabelle25[[#This Row],[Anzahl Studierende ]]</f>
        <v>0</v>
      </c>
      <c r="R38" s="18">
        <f>IF(Tabelle25[[#This Row],[Verkehrsmittel]]="Flug", IF(AND(Tabelle25[[#This Row],[Entfernung (km) einfach]]&gt;5000,Tabelle25[[#This Row],[Entfernung (km) einfach]]&lt;10000),Tabelle25[[#This Row],[Entfernung (km) gesamt]], 0), 0)*Tabelle25[[#This Row],[Anzahl Studierende ]]</f>
        <v>0</v>
      </c>
      <c r="S38" s="18">
        <f>IF(Tabelle25[[#This Row],[Verkehrsmittel]]="Flug", IF(AND(Tabelle25[[#This Row],[Entfernung (km) einfach]]&gt;10000),Tabelle25[[#This Row],[Entfernung (km) gesamt]]), 0)*Tabelle25[[#This Row],[Anzahl Studierende ]]</f>
        <v>0</v>
      </c>
      <c r="T38" s="18">
        <f>IF(Tabelle25[[#This Row],[Verkehrsmittel]]="Motorrad",Tabelle25[[#This Row],[Entfernung (km) gesamt]],0)*Tabelle25[[#This Row],[Anzahl Studierende ]]</f>
        <v>0</v>
      </c>
      <c r="U38" s="18">
        <f>IF(Tabelle25[[#This Row],[Verkehrsmittel]]="Straßen-, S-, U-Bahn",Tabelle25[[#This Row],[Entfernung (km) gesamt]],0)*Tabelle25[[#This Row],[Anzahl Studierende ]]</f>
        <v>0</v>
      </c>
      <c r="V38" s="18">
        <f>IF(Tabelle25[[#This Row],[Verkehrsmittel]]="Fahrrad",Tabelle25[[#This Row],[Entfernung (km) gesamt]],0)*Tabelle25[[#This Row],[Anzahl Studierende ]]</f>
        <v>0</v>
      </c>
    </row>
    <row r="39" spans="2:22" ht="14.4" thickBot="1">
      <c r="B39" s="110"/>
      <c r="C39" s="110"/>
      <c r="D39" s="32"/>
      <c r="E39" s="32"/>
      <c r="F39" s="32"/>
      <c r="G39" s="32"/>
      <c r="H39" s="32">
        <f>Tabelle25[[#This Row],[Entfernung (km) einfach]]*2</f>
        <v>0</v>
      </c>
      <c r="I39" s="32"/>
      <c r="J39" s="148"/>
      <c r="K39" s="18">
        <f>IF(Tabelle25[[#This Row],[Verkehrsmittel]]="Bus",Tabelle25[[#This Row],[Entfernung (km) gesamt]],0)*Tabelle25[[#This Row],[Anzahl Studierende ]]</f>
        <v>0</v>
      </c>
      <c r="L39" s="18">
        <f>IF(Tabelle25[[#This Row],[Verkehrsmittel]]="Bahn",Tabelle25[[#This Row],[Anzahl Studierende ]]*Tabelle25[[#This Row],[Entfernung (km) gesamt]],0)</f>
        <v>0</v>
      </c>
      <c r="M39" s="18">
        <f>IF(Tabelle25[[#This Row],[Verkehrsmittel]]="PKW",Tabelle25[[#This Row],[Anzahl Studierende ]]*Tabelle25[[#This Row],[Entfernung (km) gesamt]],0)</f>
        <v>0</v>
      </c>
      <c r="N39" s="18">
        <f>IF(Tabelle25[[#This Row],[Verkehrsmittel]]="Flug", IF(AND(Tabelle25[[#This Row],[Entfernung (km) einfach]]&lt;500),Tabelle25[[#This Row],[Entfernung (km) gesamt]]), 0)*Tabelle25[[#This Row],[Anzahl Studierende ]]</f>
        <v>0</v>
      </c>
      <c r="O39" s="18">
        <f>IF(Tabelle25[[#This Row],[Verkehrsmittel]]="Flug", IF(AND(Tabelle25[[#This Row],[Entfernung (km) einfach]]&gt;500,Tabelle25[[#This Row],[Entfernung (km) einfach]]&lt;1000),Tabelle25[[#This Row],[Entfernung (km) gesamt]], 0), 0)*Tabelle25[[#This Row],[Anzahl Studierende ]]</f>
        <v>0</v>
      </c>
      <c r="P39" s="18">
        <f>IF(Tabelle25[[#This Row],[Verkehrsmittel]]="Flug", IF(AND(Tabelle25[[#This Row],[Entfernung (km) einfach]]&gt;1000,Tabelle25[[#This Row],[Entfernung (km) einfach]]&lt;2000),Tabelle25[[#This Row],[Entfernung (km) gesamt]], 0), 0)*Tabelle25[[#This Row],[Anzahl Studierende ]]</f>
        <v>0</v>
      </c>
      <c r="Q39" s="18">
        <f>IF(Tabelle25[[#This Row],[Verkehrsmittel]]="Flug", IF(AND(Tabelle25[[#This Row],[Entfernung (km) einfach]]&gt;2000,Tabelle25[[#This Row],[Entfernung (km) einfach]]&lt;5000),Tabelle25[[#This Row],[Entfernung (km) gesamt]], 0), 0)*Tabelle25[[#This Row],[Anzahl Studierende ]]</f>
        <v>0</v>
      </c>
      <c r="R39" s="18">
        <f>IF(Tabelle25[[#This Row],[Verkehrsmittel]]="Flug", IF(AND(Tabelle25[[#This Row],[Entfernung (km) einfach]]&gt;5000,Tabelle25[[#This Row],[Entfernung (km) einfach]]&lt;10000),Tabelle25[[#This Row],[Entfernung (km) gesamt]], 0), 0)*Tabelle25[[#This Row],[Anzahl Studierende ]]</f>
        <v>0</v>
      </c>
      <c r="S39" s="18">
        <f>IF(Tabelle25[[#This Row],[Verkehrsmittel]]="Flug", IF(AND(Tabelle25[[#This Row],[Entfernung (km) einfach]]&gt;10000),Tabelle25[[#This Row],[Entfernung (km) gesamt]]), 0)*Tabelle25[[#This Row],[Anzahl Studierende ]]</f>
        <v>0</v>
      </c>
      <c r="T39" s="18">
        <f>IF(Tabelle25[[#This Row],[Verkehrsmittel]]="Motorrad",Tabelle25[[#This Row],[Entfernung (km) gesamt]],0)*Tabelle25[[#This Row],[Anzahl Studierende ]]</f>
        <v>0</v>
      </c>
      <c r="U39" s="18">
        <f>IF(Tabelle25[[#This Row],[Verkehrsmittel]]="Straßen-, S-, U-Bahn",Tabelle25[[#This Row],[Entfernung (km) gesamt]],0)*Tabelle25[[#This Row],[Anzahl Studierende ]]</f>
        <v>0</v>
      </c>
      <c r="V39" s="18">
        <f>IF(Tabelle25[[#This Row],[Verkehrsmittel]]="Fahrrad",Tabelle25[[#This Row],[Entfernung (km) gesamt]],0)*Tabelle25[[#This Row],[Anzahl Studierende ]]</f>
        <v>0</v>
      </c>
    </row>
    <row r="40" spans="2:22" ht="14.4" thickBot="1">
      <c r="B40" s="145"/>
      <c r="C40" s="146"/>
      <c r="D40" s="146"/>
      <c r="E40" s="146"/>
      <c r="F40" s="146"/>
      <c r="G40" s="146"/>
      <c r="H40" s="146"/>
      <c r="I40" s="146"/>
      <c r="J40" s="147"/>
      <c r="K40" s="28">
        <f>SUM(Tabelle25[Km Bus])</f>
        <v>0</v>
      </c>
      <c r="L40" s="28">
        <f>SUM(Tabelle25[Km Bahn])</f>
        <v>0</v>
      </c>
      <c r="M40" s="28">
        <f>SUM(Tabelle25[Km PKW])</f>
        <v>0</v>
      </c>
      <c r="N40" s="28">
        <f>SUM(Tabelle25[Flug bis 500])</f>
        <v>0</v>
      </c>
      <c r="O40" s="28">
        <f>SUM(Tabelle25[Flug 500 - 1000 km])</f>
        <v>0</v>
      </c>
      <c r="P40" s="28">
        <f>SUM(Tabelle25[Flug 1000 - 2000])</f>
        <v>0</v>
      </c>
      <c r="Q40" s="28">
        <f>SUM(Tabelle25[Flug 2000 - 5000])</f>
        <v>0</v>
      </c>
      <c r="R40" s="28">
        <f>SUM(Tabelle25[Flug 5000 - 10000])</f>
        <v>0</v>
      </c>
      <c r="S40" s="28">
        <f>SUM(Tabelle25[Flug über 10000])</f>
        <v>0</v>
      </c>
      <c r="T40" s="28">
        <f>SUM(Tabelle25[Motorrad])</f>
        <v>0</v>
      </c>
      <c r="U40" s="28">
        <f>SUM(Tabelle25[Straßen-, S-, U-Bahn])</f>
        <v>0</v>
      </c>
      <c r="V40" s="28">
        <f>SUM(Tabelle25[Fahrrad])</f>
        <v>0</v>
      </c>
    </row>
    <row r="41" spans="2:22">
      <c r="I41" s="137"/>
    </row>
  </sheetData>
  <sheetProtection algorithmName="SHA-512" hashValue="aiXNkEhTxTvksvlBHqPFMb+Ev2fESM6GPVYWCgj3LL6UXcJCcjpDyuHJWSC3sBRRYGcmts3IPbRCSR8yoAY7Cw==" saltValue="KvPWqYGiOv9WZH0yqnRX0Q==" spinCount="100000" sheet="1" objects="1" formatCells="0" formatColumns="0" formatRows="0" insertColumns="0" insertRows="0" insertHyperlinks="0" deleteColumns="0" deleteRows="0" sort="0" autoFilter="0" pivotTables="0"/>
  <mergeCells count="1">
    <mergeCell ref="F2:G5"/>
  </mergeCells>
  <phoneticPr fontId="3" type="noConversion"/>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Hilfstabelle!$C$1:$C$7</xm:f>
          </x14:formula1>
          <xm:sqref>E9:E39</xm:sqref>
        </x14:dataValidation>
        <x14:dataValidation type="list" allowBlank="1" showInputMessage="1" showErrorMessage="1" xr:uid="{00000000-0002-0000-0200-000000000000}">
          <x14:formula1>
            <xm:f>Hilfstabelle!$A$1:$A$8</xm:f>
          </x14:formula1>
          <xm:sqref>I8:I19 I21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0"/>
  <sheetViews>
    <sheetView showGridLines="0" workbookViewId="0">
      <selection activeCell="E19" sqref="E19"/>
    </sheetView>
  </sheetViews>
  <sheetFormatPr baseColWidth="10" defaultRowHeight="13.8"/>
  <cols>
    <col min="1" max="1" width="24.296875" customWidth="1"/>
    <col min="2" max="2" width="14.19921875" style="20" customWidth="1"/>
    <col min="3" max="3" width="11.19921875" style="20"/>
    <col min="4" max="4" width="20.8984375" style="20" bestFit="1" customWidth="1"/>
    <col min="5" max="5" width="20.59765625" style="20" bestFit="1" customWidth="1"/>
    <col min="6" max="6" width="30" style="20" bestFit="1" customWidth="1"/>
    <col min="7" max="7" width="24.3984375" style="20" bestFit="1" customWidth="1"/>
    <col min="8" max="9" width="24.19921875" style="20" bestFit="1" customWidth="1"/>
    <col min="10" max="10" width="15.8984375" style="20" bestFit="1" customWidth="1"/>
    <col min="11" max="11" width="48.69921875" hidden="1" customWidth="1"/>
    <col min="12" max="19" width="11.19921875" hidden="1" customWidth="1"/>
    <col min="20" max="20" width="16.8984375" hidden="1" customWidth="1"/>
    <col min="21" max="23" width="0" hidden="1" customWidth="1"/>
  </cols>
  <sheetData>
    <row r="1" spans="1:22" ht="14.4" thickBot="1"/>
    <row r="2" spans="1:22" ht="14.4" thickBot="1">
      <c r="C2" s="98"/>
      <c r="F2" s="94" t="s">
        <v>51</v>
      </c>
      <c r="G2" s="95"/>
    </row>
    <row r="3" spans="1:22" ht="14.4" thickBot="1">
      <c r="A3" s="1" t="s">
        <v>19</v>
      </c>
      <c r="B3" s="54" t="s">
        <v>41</v>
      </c>
      <c r="C3" s="55"/>
      <c r="F3" s="96"/>
      <c r="G3" s="97"/>
    </row>
    <row r="4" spans="1:22" ht="14.4" thickBot="1">
      <c r="F4" s="96"/>
      <c r="G4" s="97"/>
    </row>
    <row r="5" spans="1:22" ht="14.4" thickBot="1">
      <c r="A5" s="1" t="s">
        <v>37</v>
      </c>
      <c r="B5" s="52"/>
      <c r="C5" s="53"/>
      <c r="F5" s="99"/>
      <c r="G5" s="100"/>
    </row>
    <row r="6" spans="1:22" ht="14.4" thickBot="1">
      <c r="A6" s="1"/>
      <c r="B6" s="32"/>
    </row>
    <row r="7" spans="1:22" ht="14.4" thickBot="1">
      <c r="A7" s="1"/>
      <c r="B7" s="145" t="s">
        <v>0</v>
      </c>
      <c r="C7" s="146" t="s">
        <v>1</v>
      </c>
      <c r="D7" s="146" t="s">
        <v>2</v>
      </c>
      <c r="E7" s="146" t="s">
        <v>3</v>
      </c>
      <c r="F7" s="146" t="s">
        <v>4</v>
      </c>
      <c r="G7" s="146" t="s">
        <v>16</v>
      </c>
      <c r="H7" s="146" t="s">
        <v>22</v>
      </c>
      <c r="I7" s="146" t="s">
        <v>5</v>
      </c>
      <c r="J7" s="147" t="s">
        <v>6</v>
      </c>
      <c r="K7" s="42" t="s">
        <v>13</v>
      </c>
      <c r="L7" t="s">
        <v>14</v>
      </c>
      <c r="M7" t="s">
        <v>15</v>
      </c>
      <c r="N7" t="s">
        <v>23</v>
      </c>
      <c r="O7" t="s">
        <v>24</v>
      </c>
      <c r="P7" t="s">
        <v>17</v>
      </c>
      <c r="Q7" t="s">
        <v>20</v>
      </c>
      <c r="R7" t="s">
        <v>18</v>
      </c>
      <c r="S7" t="s">
        <v>21</v>
      </c>
      <c r="T7" s="9" t="s">
        <v>33</v>
      </c>
      <c r="U7" s="9" t="s">
        <v>34</v>
      </c>
      <c r="V7" s="9" t="s">
        <v>10</v>
      </c>
    </row>
    <row r="8" spans="1:22" ht="15.6">
      <c r="B8" s="104"/>
      <c r="C8" s="105"/>
      <c r="D8" s="106"/>
      <c r="E8" s="107"/>
      <c r="F8" s="107"/>
      <c r="G8" s="106"/>
      <c r="H8" s="102">
        <f>Tabelle26[[#This Row],[Entfernung (km) einfach]]*2</f>
        <v>0</v>
      </c>
      <c r="I8" s="106"/>
      <c r="J8" s="103"/>
      <c r="K8" s="43">
        <f>IF(Tabelle26[[#This Row],[Verkehrsmittel]]="Bus",Tabelle26[[#This Row],[Entfernung (km) gesamt]],0)*Tabelle26[[#This Row],[Anzahl Studierende ]]</f>
        <v>0</v>
      </c>
      <c r="L8" s="7">
        <f>IF(Tabelle26[[#This Row],[Verkehrsmittel]]="Bahn",Tabelle26[[#This Row],[Anzahl Studierende ]]*Tabelle26[[#This Row],[Entfernung (km) gesamt]],0)</f>
        <v>0</v>
      </c>
      <c r="M8" s="7">
        <f>IF(Tabelle26[[#This Row],[Verkehrsmittel]]="PKW",Tabelle26[[#This Row],[Anzahl Studierende ]]*Tabelle26[[#This Row],[Entfernung (km) gesamt]],0)</f>
        <v>0</v>
      </c>
      <c r="N8" s="7">
        <f>IF(Tabelle26[[#This Row],[Verkehrsmittel]]="Flug", IF(AND(Tabelle26[[#This Row],[Entfernung (km) einfach]]&lt;500),Tabelle26[[#This Row],[Entfernung (km) gesamt]]), 0)*Tabelle26[[#This Row],[Anzahl Studierende ]]</f>
        <v>0</v>
      </c>
      <c r="O8" s="7">
        <f>IF(Tabelle26[[#This Row],[Verkehrsmittel]]="Flug", IF(AND(Tabelle26[[#This Row],[Entfernung (km) einfach]]&gt;500,Tabelle26[[#This Row],[Entfernung (km) einfach]]&lt;1000),Tabelle26[[#This Row],[Entfernung (km) gesamt]], 0), 0)*Tabelle26[[#This Row],[Anzahl Studierende ]]</f>
        <v>0</v>
      </c>
      <c r="P8" s="7">
        <f>IF(Tabelle26[[#This Row],[Verkehrsmittel]]="Flug", IF(AND(Tabelle26[[#This Row],[Entfernung (km) einfach]]&gt;1000,Tabelle26[[#This Row],[Entfernung (km) einfach]]&lt;2000),Tabelle26[[#This Row],[Entfernung (km) gesamt]], 0), 0)*Tabelle26[[#This Row],[Anzahl Studierende ]]</f>
        <v>0</v>
      </c>
      <c r="Q8" s="7">
        <f>IF(Tabelle26[[#This Row],[Verkehrsmittel]]="Flug", IF(AND(Tabelle26[[#This Row],[Entfernung (km) einfach]]&gt;2000,Tabelle26[[#This Row],[Entfernung (km) einfach]]&lt;5000),Tabelle26[[#This Row],[Entfernung (km) gesamt]], 0), 0)*Tabelle26[[#This Row],[Anzahl Studierende ]]</f>
        <v>0</v>
      </c>
      <c r="R8" s="7">
        <f>IF(Tabelle26[[#This Row],[Verkehrsmittel]]="Flug", IF(AND(Tabelle26[[#This Row],[Entfernung (km) einfach]]&gt;5000,Tabelle26[[#This Row],[Entfernung (km) einfach]]&lt;10000),Tabelle26[[#This Row],[Entfernung (km) gesamt]], 0), 0)*Tabelle26[[#This Row],[Anzahl Studierende ]]</f>
        <v>0</v>
      </c>
      <c r="S8" s="7">
        <f>IF(Tabelle26[[#This Row],[Verkehrsmittel]]="Flug", IF(AND(Tabelle26[[#This Row],[Entfernung (km) einfach]]&gt;10000),Tabelle26[[#This Row],[Entfernung (km) gesamt]]), 0)*Tabelle26[[#This Row],[Anzahl Studierende ]]</f>
        <v>0</v>
      </c>
      <c r="T8" s="9">
        <f>IF(Tabelle26[[#This Row],[Verkehrsmittel]]="Motorrad",Tabelle26[[#This Row],[Entfernung (km) gesamt]],0)*Tabelle26[[#This Row],[Anzahl Studierende ]]</f>
        <v>0</v>
      </c>
      <c r="U8" s="9">
        <f>IF(Tabelle26[[#This Row],[Verkehrsmittel]]="Straßen-, S-, U-Bahn",Tabelle26[[#This Row],[Entfernung (km) gesamt]],0)*Tabelle26[[#This Row],[Anzahl Studierende ]]</f>
        <v>0</v>
      </c>
      <c r="V8" s="9">
        <f>IF(Tabelle26[[#This Row],[Verkehrsmittel]]="Fahrrad",Tabelle26[[#This Row],[Entfernung (km) gesamt]],0)*Tabelle26[[#This Row],[Anzahl Studierende ]]</f>
        <v>0</v>
      </c>
    </row>
    <row r="9" spans="1:22">
      <c r="B9" s="23"/>
      <c r="C9" s="32"/>
      <c r="D9" s="149"/>
      <c r="E9" s="32"/>
      <c r="F9" s="32"/>
      <c r="G9" s="32"/>
      <c r="H9" s="32">
        <f>Tabelle26[[#This Row],[Entfernung (km) einfach]]*2</f>
        <v>0</v>
      </c>
      <c r="I9" s="128"/>
      <c r="J9" s="148"/>
      <c r="K9" s="35">
        <f>IF(Tabelle26[[#This Row],[Verkehrsmittel]]="Bus",Tabelle26[[#This Row],[Entfernung (km) gesamt]],0)*Tabelle26[[#This Row],[Anzahl Studierende ]]</f>
        <v>0</v>
      </c>
      <c r="L9">
        <f>IF(Tabelle26[[#This Row],[Verkehrsmittel]]="Bahn",Tabelle26[[#This Row],[Anzahl Studierende ]]*Tabelle26[[#This Row],[Entfernung (km) gesamt]],0)</f>
        <v>0</v>
      </c>
      <c r="M9">
        <f>IF(Tabelle26[[#This Row],[Verkehrsmittel]]="PKW",Tabelle26[[#This Row],[Anzahl Studierende ]]*Tabelle26[[#This Row],[Entfernung (km) gesamt]],0)</f>
        <v>0</v>
      </c>
      <c r="N9">
        <f>IF(Tabelle26[[#This Row],[Verkehrsmittel]]="Flug", IF(AND(Tabelle26[[#This Row],[Entfernung (km) einfach]]&lt;500),Tabelle26[[#This Row],[Entfernung (km) gesamt]]), 0)*Tabelle26[[#This Row],[Anzahl Studierende ]]</f>
        <v>0</v>
      </c>
      <c r="O9">
        <f>IF(Tabelle26[[#This Row],[Verkehrsmittel]]="Flug", IF(AND(Tabelle26[[#This Row],[Entfernung (km) einfach]]&gt;500,Tabelle26[[#This Row],[Entfernung (km) einfach]]&lt;1000),Tabelle26[[#This Row],[Entfernung (km) gesamt]], 0), 0)*Tabelle26[[#This Row],[Anzahl Studierende ]]</f>
        <v>0</v>
      </c>
      <c r="P9">
        <f>IF(Tabelle26[[#This Row],[Verkehrsmittel]]="Flug", IF(AND(Tabelle26[[#This Row],[Entfernung (km) einfach]]&gt;1000,Tabelle26[[#This Row],[Entfernung (km) einfach]]&lt;2000),Tabelle26[[#This Row],[Entfernung (km) gesamt]], 0), 0)*Tabelle26[[#This Row],[Anzahl Studierende ]]</f>
        <v>0</v>
      </c>
      <c r="Q9">
        <f>IF(Tabelle26[[#This Row],[Verkehrsmittel]]="Flug", IF(AND(Tabelle26[[#This Row],[Entfernung (km) einfach]]&gt;2000,Tabelle26[[#This Row],[Entfernung (km) einfach]]&lt;5000),Tabelle26[[#This Row],[Entfernung (km) gesamt]], 0), 0)*Tabelle26[[#This Row],[Anzahl Studierende ]]</f>
        <v>0</v>
      </c>
      <c r="R9">
        <f>IF(Tabelle26[[#This Row],[Verkehrsmittel]]="Flug", IF(AND(Tabelle26[[#This Row],[Entfernung (km) einfach]]&gt;5000,Tabelle26[[#This Row],[Entfernung (km) einfach]]&lt;10000),Tabelle26[[#This Row],[Entfernung (km) gesamt]], 0), 0)*Tabelle26[[#This Row],[Anzahl Studierende ]]</f>
        <v>0</v>
      </c>
      <c r="S9">
        <f>IF(Tabelle26[[#This Row],[Verkehrsmittel]]="Flug", IF(AND(Tabelle26[[#This Row],[Entfernung (km) einfach]]&gt;10000),Tabelle26[[#This Row],[Entfernung (km) gesamt]]), 0)*Tabelle26[[#This Row],[Anzahl Studierende ]]</f>
        <v>0</v>
      </c>
      <c r="T9">
        <f>IF(Tabelle26[[#This Row],[Verkehrsmittel]]="Motorrad",Tabelle26[[#This Row],[Entfernung (km) gesamt]],0)*Tabelle26[[#This Row],[Anzahl Studierende ]]</f>
        <v>0</v>
      </c>
      <c r="U9">
        <f>IF(Tabelle26[[#This Row],[Verkehrsmittel]]="Straßen-, S-, U-Bahn",Tabelle26[[#This Row],[Entfernung (km) gesamt]],0)*Tabelle26[[#This Row],[Anzahl Studierende ]]</f>
        <v>0</v>
      </c>
      <c r="V9">
        <f>IF(Tabelle26[[#This Row],[Verkehrsmittel]]="Fahrrad",Tabelle26[[#This Row],[Entfernung (km) gesamt]],0)*Tabelle26[[#This Row],[Anzahl Studierende ]]</f>
        <v>0</v>
      </c>
    </row>
    <row r="10" spans="1:22">
      <c r="B10" s="23"/>
      <c r="C10" s="32"/>
      <c r="D10" s="149"/>
      <c r="E10" s="32"/>
      <c r="F10" s="32"/>
      <c r="G10" s="32"/>
      <c r="H10" s="32">
        <f>Tabelle26[[#This Row],[Entfernung (km) einfach]]*2</f>
        <v>0</v>
      </c>
      <c r="I10" s="128"/>
      <c r="J10" s="148"/>
      <c r="K10" s="35">
        <f>IF(Tabelle26[[#This Row],[Verkehrsmittel]]="Bus",Tabelle26[[#This Row],[Entfernung (km) gesamt]],0)*Tabelle26[[#This Row],[Anzahl Studierende ]]</f>
        <v>0</v>
      </c>
      <c r="L10">
        <f>IF(Tabelle26[[#This Row],[Verkehrsmittel]]="Bahn",Tabelle26[[#This Row],[Anzahl Studierende ]]*Tabelle26[[#This Row],[Entfernung (km) gesamt]],0)</f>
        <v>0</v>
      </c>
      <c r="M10">
        <f>IF(Tabelle26[[#This Row],[Verkehrsmittel]]="PKW",Tabelle26[[#This Row],[Anzahl Studierende ]]*Tabelle26[[#This Row],[Entfernung (km) gesamt]],0)</f>
        <v>0</v>
      </c>
      <c r="N10">
        <f>IF(Tabelle26[[#This Row],[Verkehrsmittel]]="Flug", IF(AND(Tabelle26[[#This Row],[Entfernung (km) einfach]]&lt;500),Tabelle26[[#This Row],[Entfernung (km) gesamt]]), 0)*Tabelle26[[#This Row],[Anzahl Studierende ]]</f>
        <v>0</v>
      </c>
      <c r="O10">
        <f>IF(Tabelle26[[#This Row],[Verkehrsmittel]]="Flug", IF(AND(Tabelle26[[#This Row],[Entfernung (km) einfach]]&gt;500,Tabelle26[[#This Row],[Entfernung (km) einfach]]&lt;1000),Tabelle26[[#This Row],[Entfernung (km) gesamt]], 0), 0)*Tabelle26[[#This Row],[Anzahl Studierende ]]</f>
        <v>0</v>
      </c>
      <c r="P10">
        <f>IF(Tabelle26[[#This Row],[Verkehrsmittel]]="Flug", IF(AND(Tabelle26[[#This Row],[Entfernung (km) einfach]]&gt;1000,Tabelle26[[#This Row],[Entfernung (km) einfach]]&lt;2000),Tabelle26[[#This Row],[Entfernung (km) gesamt]], 0), 0)*Tabelle26[[#This Row],[Anzahl Studierende ]]</f>
        <v>0</v>
      </c>
      <c r="Q10">
        <f>IF(Tabelle26[[#This Row],[Verkehrsmittel]]="Flug", IF(AND(Tabelle26[[#This Row],[Entfernung (km) einfach]]&gt;2000,Tabelle26[[#This Row],[Entfernung (km) einfach]]&lt;5000),Tabelle26[[#This Row],[Entfernung (km) gesamt]], 0), 0)*Tabelle26[[#This Row],[Anzahl Studierende ]]</f>
        <v>0</v>
      </c>
      <c r="R10">
        <f>IF(Tabelle26[[#This Row],[Verkehrsmittel]]="Flug", IF(AND(Tabelle26[[#This Row],[Entfernung (km) einfach]]&gt;5000,Tabelle26[[#This Row],[Entfernung (km) einfach]]&lt;10000),Tabelle26[[#This Row],[Entfernung (km) gesamt]], 0), 0)*Tabelle26[[#This Row],[Anzahl Studierende ]]</f>
        <v>0</v>
      </c>
      <c r="S10">
        <f>IF(Tabelle26[[#This Row],[Verkehrsmittel]]="Flug", IF(AND(Tabelle26[[#This Row],[Entfernung (km) einfach]]&gt;10000),Tabelle26[[#This Row],[Entfernung (km) gesamt]]), 0)*Tabelle26[[#This Row],[Anzahl Studierende ]]</f>
        <v>0</v>
      </c>
      <c r="T10">
        <f>IF(Tabelle26[[#This Row],[Verkehrsmittel]]="Motorrad",Tabelle26[[#This Row],[Entfernung (km) gesamt]],0)*Tabelle26[[#This Row],[Anzahl Studierende ]]</f>
        <v>0</v>
      </c>
      <c r="U10">
        <f>IF(Tabelle26[[#This Row],[Verkehrsmittel]]="Straßen-, S-, U-Bahn",Tabelle26[[#This Row],[Entfernung (km) gesamt]],0)*Tabelle26[[#This Row],[Anzahl Studierende ]]</f>
        <v>0</v>
      </c>
      <c r="V10">
        <f>IF(Tabelle26[[#This Row],[Verkehrsmittel]]="Fahrrad",Tabelle26[[#This Row],[Entfernung (km) gesamt]],0)*Tabelle26[[#This Row],[Anzahl Studierende ]]</f>
        <v>0</v>
      </c>
    </row>
    <row r="11" spans="1:22">
      <c r="B11" s="23"/>
      <c r="C11" s="32"/>
      <c r="D11" s="149"/>
      <c r="E11" s="32"/>
      <c r="F11" s="32"/>
      <c r="G11" s="32"/>
      <c r="H11" s="32">
        <f>Tabelle26[[#This Row],[Entfernung (km) einfach]]*2</f>
        <v>0</v>
      </c>
      <c r="I11" s="128"/>
      <c r="J11" s="148"/>
      <c r="K11" s="35">
        <f>IF(Tabelle26[[#This Row],[Verkehrsmittel]]="Bus",Tabelle26[[#This Row],[Entfernung (km) gesamt]],0)*Tabelle26[[#This Row],[Anzahl Studierende ]]</f>
        <v>0</v>
      </c>
      <c r="L11">
        <f>IF(Tabelle26[[#This Row],[Verkehrsmittel]]="Bahn",Tabelle26[[#This Row],[Anzahl Studierende ]]*Tabelle26[[#This Row],[Entfernung (km) gesamt]],0)</f>
        <v>0</v>
      </c>
      <c r="M11">
        <f>IF(Tabelle26[[#This Row],[Verkehrsmittel]]="PKW",Tabelle26[[#This Row],[Anzahl Studierende ]]*Tabelle26[[#This Row],[Entfernung (km) gesamt]],0)</f>
        <v>0</v>
      </c>
      <c r="N11">
        <f>IF(Tabelle26[[#This Row],[Verkehrsmittel]]="Flug", IF(AND(Tabelle26[[#This Row],[Entfernung (km) einfach]]&lt;500),Tabelle26[[#This Row],[Entfernung (km) gesamt]]), 0)*Tabelle26[[#This Row],[Anzahl Studierende ]]</f>
        <v>0</v>
      </c>
      <c r="O11">
        <f>IF(Tabelle26[[#This Row],[Verkehrsmittel]]="Flug", IF(AND(Tabelle26[[#This Row],[Entfernung (km) einfach]]&gt;500,Tabelle26[[#This Row],[Entfernung (km) einfach]]&lt;1000),Tabelle26[[#This Row],[Entfernung (km) gesamt]], 0), 0)*Tabelle26[[#This Row],[Anzahl Studierende ]]</f>
        <v>0</v>
      </c>
      <c r="P11">
        <f>IF(Tabelle26[[#This Row],[Verkehrsmittel]]="Flug", IF(AND(Tabelle26[[#This Row],[Entfernung (km) einfach]]&gt;1000,Tabelle26[[#This Row],[Entfernung (km) einfach]]&lt;2000),Tabelle26[[#This Row],[Entfernung (km) gesamt]], 0), 0)*Tabelle26[[#This Row],[Anzahl Studierende ]]</f>
        <v>0</v>
      </c>
      <c r="Q11">
        <f>IF(Tabelle26[[#This Row],[Verkehrsmittel]]="Flug", IF(AND(Tabelle26[[#This Row],[Entfernung (km) einfach]]&gt;2000,Tabelle26[[#This Row],[Entfernung (km) einfach]]&lt;5000),Tabelle26[[#This Row],[Entfernung (km) gesamt]], 0), 0)*Tabelle26[[#This Row],[Anzahl Studierende ]]</f>
        <v>0</v>
      </c>
      <c r="R11">
        <f>IF(Tabelle26[[#This Row],[Verkehrsmittel]]="Flug", IF(AND(Tabelle26[[#This Row],[Entfernung (km) einfach]]&gt;5000,Tabelle26[[#This Row],[Entfernung (km) einfach]]&lt;10000),Tabelle26[[#This Row],[Entfernung (km) gesamt]], 0), 0)*Tabelle26[[#This Row],[Anzahl Studierende ]]</f>
        <v>0</v>
      </c>
      <c r="S11">
        <f>IF(Tabelle26[[#This Row],[Verkehrsmittel]]="Flug", IF(AND(Tabelle26[[#This Row],[Entfernung (km) einfach]]&gt;10000),Tabelle26[[#This Row],[Entfernung (km) gesamt]]), 0)*Tabelle26[[#This Row],[Anzahl Studierende ]]</f>
        <v>0</v>
      </c>
      <c r="T11">
        <f>IF(Tabelle26[[#This Row],[Verkehrsmittel]]="Motorrad",Tabelle26[[#This Row],[Entfernung (km) gesamt]],0)*Tabelle26[[#This Row],[Anzahl Studierende ]]</f>
        <v>0</v>
      </c>
      <c r="U11">
        <f>IF(Tabelle26[[#This Row],[Verkehrsmittel]]="Straßen-, S-, U-Bahn",Tabelle26[[#This Row],[Entfernung (km) gesamt]],0)*Tabelle26[[#This Row],[Anzahl Studierende ]]</f>
        <v>0</v>
      </c>
      <c r="V11">
        <f>IF(Tabelle26[[#This Row],[Verkehrsmittel]]="Fahrrad",Tabelle26[[#This Row],[Entfernung (km) gesamt]],0)*Tabelle26[[#This Row],[Anzahl Studierende ]]</f>
        <v>0</v>
      </c>
    </row>
    <row r="12" spans="1:22">
      <c r="B12" s="23"/>
      <c r="C12" s="32"/>
      <c r="D12" s="149"/>
      <c r="E12" s="32"/>
      <c r="F12" s="32"/>
      <c r="G12" s="32"/>
      <c r="H12" s="32">
        <f>Tabelle26[[#This Row],[Entfernung (km) einfach]]*2</f>
        <v>0</v>
      </c>
      <c r="I12" s="128"/>
      <c r="J12" s="148"/>
      <c r="K12" s="35">
        <f>IF(Tabelle26[[#This Row],[Verkehrsmittel]]="Bus",Tabelle26[[#This Row],[Entfernung (km) gesamt]],0)*Tabelle26[[#This Row],[Anzahl Studierende ]]</f>
        <v>0</v>
      </c>
      <c r="L12">
        <f>IF(Tabelle26[[#This Row],[Verkehrsmittel]]="Bahn",Tabelle26[[#This Row],[Anzahl Studierende ]]*Tabelle26[[#This Row],[Entfernung (km) gesamt]],0)</f>
        <v>0</v>
      </c>
      <c r="M12">
        <f>IF(Tabelle26[[#This Row],[Verkehrsmittel]]="PKW",Tabelle26[[#This Row],[Anzahl Studierende ]]*Tabelle26[[#This Row],[Entfernung (km) gesamt]],0)</f>
        <v>0</v>
      </c>
      <c r="N12">
        <f>IF(Tabelle26[[#This Row],[Verkehrsmittel]]="Flug", IF(AND(Tabelle26[[#This Row],[Entfernung (km) einfach]]&lt;500),Tabelle26[[#This Row],[Entfernung (km) gesamt]]), 0)*Tabelle26[[#This Row],[Anzahl Studierende ]]</f>
        <v>0</v>
      </c>
      <c r="O12">
        <f>IF(Tabelle26[[#This Row],[Verkehrsmittel]]="Flug", IF(AND(Tabelle26[[#This Row],[Entfernung (km) einfach]]&gt;500,Tabelle26[[#This Row],[Entfernung (km) einfach]]&lt;1000),Tabelle26[[#This Row],[Entfernung (km) gesamt]], 0), 0)*Tabelle26[[#This Row],[Anzahl Studierende ]]</f>
        <v>0</v>
      </c>
      <c r="P12">
        <f>IF(Tabelle26[[#This Row],[Verkehrsmittel]]="Flug", IF(AND(Tabelle26[[#This Row],[Entfernung (km) einfach]]&gt;1000,Tabelle26[[#This Row],[Entfernung (km) einfach]]&lt;2000),Tabelle26[[#This Row],[Entfernung (km) gesamt]], 0), 0)*Tabelle26[[#This Row],[Anzahl Studierende ]]</f>
        <v>0</v>
      </c>
      <c r="Q12">
        <f>IF(Tabelle26[[#This Row],[Verkehrsmittel]]="Flug", IF(AND(Tabelle26[[#This Row],[Entfernung (km) einfach]]&gt;2000,Tabelle26[[#This Row],[Entfernung (km) einfach]]&lt;5000),Tabelle26[[#This Row],[Entfernung (km) gesamt]], 0), 0)*Tabelle26[[#This Row],[Anzahl Studierende ]]</f>
        <v>0</v>
      </c>
      <c r="R12">
        <f>IF(Tabelle26[[#This Row],[Verkehrsmittel]]="Flug", IF(AND(Tabelle26[[#This Row],[Entfernung (km) einfach]]&gt;5000,Tabelle26[[#This Row],[Entfernung (km) einfach]]&lt;10000),Tabelle26[[#This Row],[Entfernung (km) gesamt]], 0), 0)*Tabelle26[[#This Row],[Anzahl Studierende ]]</f>
        <v>0</v>
      </c>
      <c r="S12">
        <f>IF(Tabelle26[[#This Row],[Verkehrsmittel]]="Flug", IF(AND(Tabelle26[[#This Row],[Entfernung (km) einfach]]&gt;10000),Tabelle26[[#This Row],[Entfernung (km) gesamt]]), 0)*Tabelle26[[#This Row],[Anzahl Studierende ]]</f>
        <v>0</v>
      </c>
      <c r="T12">
        <f>IF(Tabelle26[[#This Row],[Verkehrsmittel]]="Motorrad",Tabelle26[[#This Row],[Entfernung (km) gesamt]],0)*Tabelle26[[#This Row],[Anzahl Studierende ]]</f>
        <v>0</v>
      </c>
      <c r="U12">
        <f>IF(Tabelle26[[#This Row],[Verkehrsmittel]]="Straßen-, S-, U-Bahn",Tabelle26[[#This Row],[Entfernung (km) gesamt]],0)*Tabelle26[[#This Row],[Anzahl Studierende ]]</f>
        <v>0</v>
      </c>
      <c r="V12">
        <f>IF(Tabelle26[[#This Row],[Verkehrsmittel]]="Fahrrad",Tabelle26[[#This Row],[Entfernung (km) gesamt]],0)*Tabelle26[[#This Row],[Anzahl Studierende ]]</f>
        <v>0</v>
      </c>
    </row>
    <row r="13" spans="1:22">
      <c r="B13" s="23"/>
      <c r="C13" s="32"/>
      <c r="D13" s="149"/>
      <c r="E13" s="32"/>
      <c r="F13" s="32"/>
      <c r="G13" s="32"/>
      <c r="H13" s="32">
        <f>Tabelle26[[#This Row],[Entfernung (km) einfach]]*2</f>
        <v>0</v>
      </c>
      <c r="I13" s="128"/>
      <c r="J13" s="148"/>
      <c r="K13" s="35">
        <f>IF(Tabelle26[[#This Row],[Verkehrsmittel]]="Bus",Tabelle26[[#This Row],[Entfernung (km) gesamt]],0)*Tabelle26[[#This Row],[Anzahl Studierende ]]</f>
        <v>0</v>
      </c>
      <c r="L13">
        <f>IF(Tabelle26[[#This Row],[Verkehrsmittel]]="Bahn",Tabelle26[[#This Row],[Anzahl Studierende ]]*Tabelle26[[#This Row],[Entfernung (km) gesamt]],0)</f>
        <v>0</v>
      </c>
      <c r="M13">
        <f>IF(Tabelle26[[#This Row],[Verkehrsmittel]]="PKW",Tabelle26[[#This Row],[Anzahl Studierende ]]*Tabelle26[[#This Row],[Entfernung (km) gesamt]],0)</f>
        <v>0</v>
      </c>
      <c r="N13">
        <f>IF(Tabelle26[[#This Row],[Verkehrsmittel]]="Flug", IF(AND(Tabelle26[[#This Row],[Entfernung (km) einfach]]&lt;500),Tabelle26[[#This Row],[Entfernung (km) gesamt]]), 0)*Tabelle26[[#This Row],[Anzahl Studierende ]]</f>
        <v>0</v>
      </c>
      <c r="O13">
        <f>IF(Tabelle26[[#This Row],[Verkehrsmittel]]="Flug", IF(AND(Tabelle26[[#This Row],[Entfernung (km) einfach]]&gt;500,Tabelle26[[#This Row],[Entfernung (km) einfach]]&lt;1000),Tabelle26[[#This Row],[Entfernung (km) gesamt]], 0), 0)*Tabelle26[[#This Row],[Anzahl Studierende ]]</f>
        <v>0</v>
      </c>
      <c r="P13">
        <f>IF(Tabelle26[[#This Row],[Verkehrsmittel]]="Flug", IF(AND(Tabelle26[[#This Row],[Entfernung (km) einfach]]&gt;1000,Tabelle26[[#This Row],[Entfernung (km) einfach]]&lt;2000),Tabelle26[[#This Row],[Entfernung (km) gesamt]], 0), 0)*Tabelle26[[#This Row],[Anzahl Studierende ]]</f>
        <v>0</v>
      </c>
      <c r="Q13">
        <f>IF(Tabelle26[[#This Row],[Verkehrsmittel]]="Flug", IF(AND(Tabelle26[[#This Row],[Entfernung (km) einfach]]&gt;2000,Tabelle26[[#This Row],[Entfernung (km) einfach]]&lt;5000),Tabelle26[[#This Row],[Entfernung (km) gesamt]], 0), 0)*Tabelle26[[#This Row],[Anzahl Studierende ]]</f>
        <v>0</v>
      </c>
      <c r="R13">
        <f>IF(Tabelle26[[#This Row],[Verkehrsmittel]]="Flug", IF(AND(Tabelle26[[#This Row],[Entfernung (km) einfach]]&gt;5000,Tabelle26[[#This Row],[Entfernung (km) einfach]]&lt;10000),Tabelle26[[#This Row],[Entfernung (km) gesamt]], 0), 0)*Tabelle26[[#This Row],[Anzahl Studierende ]]</f>
        <v>0</v>
      </c>
      <c r="S13">
        <f>IF(Tabelle26[[#This Row],[Verkehrsmittel]]="Flug", IF(AND(Tabelle26[[#This Row],[Entfernung (km) einfach]]&gt;10000),Tabelle26[[#This Row],[Entfernung (km) gesamt]]), 0)*Tabelle26[[#This Row],[Anzahl Studierende ]]</f>
        <v>0</v>
      </c>
      <c r="T13">
        <f>IF(Tabelle26[[#This Row],[Verkehrsmittel]]="Motorrad",Tabelle26[[#This Row],[Entfernung (km) gesamt]],0)*Tabelle26[[#This Row],[Anzahl Studierende ]]</f>
        <v>0</v>
      </c>
      <c r="U13">
        <f>IF(Tabelle26[[#This Row],[Verkehrsmittel]]="Straßen-, S-, U-Bahn",Tabelle26[[#This Row],[Entfernung (km) gesamt]],0)*Tabelle26[[#This Row],[Anzahl Studierende ]]</f>
        <v>0</v>
      </c>
      <c r="V13">
        <f>IF(Tabelle26[[#This Row],[Verkehrsmittel]]="Fahrrad",Tabelle26[[#This Row],[Entfernung (km) gesamt]],0)*Tabelle26[[#This Row],[Anzahl Studierende ]]</f>
        <v>0</v>
      </c>
    </row>
    <row r="14" spans="1:22">
      <c r="B14" s="23"/>
      <c r="C14" s="32"/>
      <c r="D14" s="149"/>
      <c r="E14" s="32"/>
      <c r="F14" s="32"/>
      <c r="G14" s="32"/>
      <c r="H14" s="32">
        <f>Tabelle26[[#This Row],[Entfernung (km) einfach]]*2</f>
        <v>0</v>
      </c>
      <c r="I14" s="128"/>
      <c r="J14" s="148"/>
      <c r="K14" s="35">
        <f>IF(Tabelle26[[#This Row],[Verkehrsmittel]]="Bus",Tabelle26[[#This Row],[Entfernung (km) gesamt]],0)*Tabelle26[[#This Row],[Anzahl Studierende ]]</f>
        <v>0</v>
      </c>
      <c r="L14">
        <f>IF(Tabelle26[[#This Row],[Verkehrsmittel]]="Bahn",Tabelle26[[#This Row],[Anzahl Studierende ]]*Tabelle26[[#This Row],[Entfernung (km) gesamt]],0)</f>
        <v>0</v>
      </c>
      <c r="M14">
        <f>IF(Tabelle26[[#This Row],[Verkehrsmittel]]="PKW",Tabelle26[[#This Row],[Anzahl Studierende ]]*Tabelle26[[#This Row],[Entfernung (km) gesamt]],0)</f>
        <v>0</v>
      </c>
      <c r="N14">
        <f>IF(Tabelle26[[#This Row],[Verkehrsmittel]]="Flug", IF(AND(Tabelle26[[#This Row],[Entfernung (km) einfach]]&lt;500),Tabelle26[[#This Row],[Entfernung (km) gesamt]]), 0)*Tabelle26[[#This Row],[Anzahl Studierende ]]</f>
        <v>0</v>
      </c>
      <c r="O14">
        <f>IF(Tabelle26[[#This Row],[Verkehrsmittel]]="Flug", IF(AND(Tabelle26[[#This Row],[Entfernung (km) einfach]]&gt;500,Tabelle26[[#This Row],[Entfernung (km) einfach]]&lt;1000),Tabelle26[[#This Row],[Entfernung (km) gesamt]], 0), 0)*Tabelle26[[#This Row],[Anzahl Studierende ]]</f>
        <v>0</v>
      </c>
      <c r="P14">
        <f>IF(Tabelle26[[#This Row],[Verkehrsmittel]]="Flug", IF(AND(Tabelle26[[#This Row],[Entfernung (km) einfach]]&gt;1000,Tabelle26[[#This Row],[Entfernung (km) einfach]]&lt;2000),Tabelle26[[#This Row],[Entfernung (km) gesamt]], 0), 0)*Tabelle26[[#This Row],[Anzahl Studierende ]]</f>
        <v>0</v>
      </c>
      <c r="Q14">
        <f>IF(Tabelle26[[#This Row],[Verkehrsmittel]]="Flug", IF(AND(Tabelle26[[#This Row],[Entfernung (km) einfach]]&gt;2000,Tabelle26[[#This Row],[Entfernung (km) einfach]]&lt;5000),Tabelle26[[#This Row],[Entfernung (km) gesamt]], 0), 0)*Tabelle26[[#This Row],[Anzahl Studierende ]]</f>
        <v>0</v>
      </c>
      <c r="R14">
        <f>IF(Tabelle26[[#This Row],[Verkehrsmittel]]="Flug", IF(AND(Tabelle26[[#This Row],[Entfernung (km) einfach]]&gt;5000,Tabelle26[[#This Row],[Entfernung (km) einfach]]&lt;10000),Tabelle26[[#This Row],[Entfernung (km) gesamt]], 0), 0)*Tabelle26[[#This Row],[Anzahl Studierende ]]</f>
        <v>0</v>
      </c>
      <c r="S14">
        <f>IF(Tabelle26[[#This Row],[Verkehrsmittel]]="Flug", IF(AND(Tabelle26[[#This Row],[Entfernung (km) einfach]]&gt;10000),Tabelle26[[#This Row],[Entfernung (km) gesamt]]), 0)*Tabelle26[[#This Row],[Anzahl Studierende ]]</f>
        <v>0</v>
      </c>
      <c r="T14">
        <f>IF(Tabelle26[[#This Row],[Verkehrsmittel]]="Motorrad",Tabelle26[[#This Row],[Entfernung (km) gesamt]],0)*Tabelle26[[#This Row],[Anzahl Studierende ]]</f>
        <v>0</v>
      </c>
      <c r="U14">
        <f>IF(Tabelle26[[#This Row],[Verkehrsmittel]]="Straßen-, S-, U-Bahn",Tabelle26[[#This Row],[Entfernung (km) gesamt]],0)*Tabelle26[[#This Row],[Anzahl Studierende ]]</f>
        <v>0</v>
      </c>
      <c r="V14">
        <f>IF(Tabelle26[[#This Row],[Verkehrsmittel]]="Fahrrad",Tabelle26[[#This Row],[Entfernung (km) gesamt]],0)*Tabelle26[[#This Row],[Anzahl Studierende ]]</f>
        <v>0</v>
      </c>
    </row>
    <row r="15" spans="1:22">
      <c r="B15" s="23"/>
      <c r="C15" s="32"/>
      <c r="D15" s="149"/>
      <c r="E15" s="32"/>
      <c r="F15" s="32"/>
      <c r="G15" s="32"/>
      <c r="H15" s="32">
        <f>Tabelle26[[#This Row],[Entfernung (km) einfach]]*2</f>
        <v>0</v>
      </c>
      <c r="I15" s="128"/>
      <c r="J15" s="148"/>
      <c r="K15" s="35">
        <f>IF(Tabelle26[[#This Row],[Verkehrsmittel]]="Bus",Tabelle26[[#This Row],[Entfernung (km) gesamt]],0)*Tabelle26[[#This Row],[Anzahl Studierende ]]</f>
        <v>0</v>
      </c>
      <c r="L15">
        <f>IF(Tabelle26[[#This Row],[Verkehrsmittel]]="Bahn",Tabelle26[[#This Row],[Anzahl Studierende ]]*Tabelle26[[#This Row],[Entfernung (km) gesamt]],0)</f>
        <v>0</v>
      </c>
      <c r="M15">
        <f>IF(Tabelle26[[#This Row],[Verkehrsmittel]]="PKW",Tabelle26[[#This Row],[Anzahl Studierende ]]*Tabelle26[[#This Row],[Entfernung (km) gesamt]],0)</f>
        <v>0</v>
      </c>
      <c r="N15">
        <f>IF(Tabelle26[[#This Row],[Verkehrsmittel]]="Flug", IF(AND(Tabelle26[[#This Row],[Entfernung (km) einfach]]&lt;500),Tabelle26[[#This Row],[Entfernung (km) gesamt]]), 0)*Tabelle26[[#This Row],[Anzahl Studierende ]]</f>
        <v>0</v>
      </c>
      <c r="O15">
        <f>IF(Tabelle26[[#This Row],[Verkehrsmittel]]="Flug", IF(AND(Tabelle26[[#This Row],[Entfernung (km) einfach]]&gt;500,Tabelle26[[#This Row],[Entfernung (km) einfach]]&lt;1000),Tabelle26[[#This Row],[Entfernung (km) gesamt]], 0), 0)*Tabelle26[[#This Row],[Anzahl Studierende ]]</f>
        <v>0</v>
      </c>
      <c r="P15">
        <f>IF(Tabelle26[[#This Row],[Verkehrsmittel]]="Flug", IF(AND(Tabelle26[[#This Row],[Entfernung (km) einfach]]&gt;1000,Tabelle26[[#This Row],[Entfernung (km) einfach]]&lt;2000),Tabelle26[[#This Row],[Entfernung (km) gesamt]], 0), 0)*Tabelle26[[#This Row],[Anzahl Studierende ]]</f>
        <v>0</v>
      </c>
      <c r="Q15">
        <f>IF(Tabelle26[[#This Row],[Verkehrsmittel]]="Flug", IF(AND(Tabelle26[[#This Row],[Entfernung (km) einfach]]&gt;2000,Tabelle26[[#This Row],[Entfernung (km) einfach]]&lt;5000),Tabelle26[[#This Row],[Entfernung (km) gesamt]], 0), 0)*Tabelle26[[#This Row],[Anzahl Studierende ]]</f>
        <v>0</v>
      </c>
      <c r="R15">
        <f>IF(Tabelle26[[#This Row],[Verkehrsmittel]]="Flug", IF(AND(Tabelle26[[#This Row],[Entfernung (km) einfach]]&gt;5000,Tabelle26[[#This Row],[Entfernung (km) einfach]]&lt;10000),Tabelle26[[#This Row],[Entfernung (km) gesamt]], 0), 0)*Tabelle26[[#This Row],[Anzahl Studierende ]]</f>
        <v>0</v>
      </c>
      <c r="S15">
        <f>IF(Tabelle26[[#This Row],[Verkehrsmittel]]="Flug", IF(AND(Tabelle26[[#This Row],[Entfernung (km) einfach]]&gt;10000),Tabelle26[[#This Row],[Entfernung (km) gesamt]]), 0)*Tabelle26[[#This Row],[Anzahl Studierende ]]</f>
        <v>0</v>
      </c>
      <c r="T15">
        <f>IF(Tabelle26[[#This Row],[Verkehrsmittel]]="Motorrad",Tabelle26[[#This Row],[Entfernung (km) gesamt]],0)*Tabelle26[[#This Row],[Anzahl Studierende ]]</f>
        <v>0</v>
      </c>
      <c r="U15">
        <f>IF(Tabelle26[[#This Row],[Verkehrsmittel]]="Straßen-, S-, U-Bahn",Tabelle26[[#This Row],[Entfernung (km) gesamt]],0)*Tabelle26[[#This Row],[Anzahl Studierende ]]</f>
        <v>0</v>
      </c>
      <c r="V15">
        <f>IF(Tabelle26[[#This Row],[Verkehrsmittel]]="Fahrrad",Tabelle26[[#This Row],[Entfernung (km) gesamt]],0)*Tabelle26[[#This Row],[Anzahl Studierende ]]</f>
        <v>0</v>
      </c>
    </row>
    <row r="16" spans="1:22">
      <c r="B16" s="23"/>
      <c r="C16" s="32"/>
      <c r="D16" s="149"/>
      <c r="E16" s="32"/>
      <c r="F16" s="32"/>
      <c r="G16" s="32"/>
      <c r="H16" s="32">
        <f>Tabelle26[[#This Row],[Entfernung (km) einfach]]*2</f>
        <v>0</v>
      </c>
      <c r="I16" s="128"/>
      <c r="J16" s="148"/>
      <c r="K16" s="35">
        <f>IF(Tabelle26[[#This Row],[Verkehrsmittel]]="Bus",Tabelle26[[#This Row],[Entfernung (km) gesamt]],0)*Tabelle26[[#This Row],[Anzahl Studierende ]]</f>
        <v>0</v>
      </c>
      <c r="L16">
        <f>IF(Tabelle26[[#This Row],[Verkehrsmittel]]="Bahn",Tabelle26[[#This Row],[Anzahl Studierende ]]*Tabelle26[[#This Row],[Entfernung (km) gesamt]],0)</f>
        <v>0</v>
      </c>
      <c r="M16">
        <f>IF(Tabelle26[[#This Row],[Verkehrsmittel]]="PKW",Tabelle26[[#This Row],[Anzahl Studierende ]]*Tabelle26[[#This Row],[Entfernung (km) gesamt]],0)</f>
        <v>0</v>
      </c>
      <c r="N16">
        <f>IF(Tabelle26[[#This Row],[Verkehrsmittel]]="Flug", IF(AND(Tabelle26[[#This Row],[Entfernung (km) einfach]]&lt;500),Tabelle26[[#This Row],[Entfernung (km) gesamt]]), 0)*Tabelle26[[#This Row],[Anzahl Studierende ]]</f>
        <v>0</v>
      </c>
      <c r="O16">
        <f>IF(Tabelle26[[#This Row],[Verkehrsmittel]]="Flug", IF(AND(Tabelle26[[#This Row],[Entfernung (km) einfach]]&gt;500,Tabelle26[[#This Row],[Entfernung (km) einfach]]&lt;1000),Tabelle26[[#This Row],[Entfernung (km) gesamt]], 0), 0)*Tabelle26[[#This Row],[Anzahl Studierende ]]</f>
        <v>0</v>
      </c>
      <c r="P16">
        <f>IF(Tabelle26[[#This Row],[Verkehrsmittel]]="Flug", IF(AND(Tabelle26[[#This Row],[Entfernung (km) einfach]]&gt;1000,Tabelle26[[#This Row],[Entfernung (km) einfach]]&lt;2000),Tabelle26[[#This Row],[Entfernung (km) gesamt]], 0), 0)*Tabelle26[[#This Row],[Anzahl Studierende ]]</f>
        <v>0</v>
      </c>
      <c r="Q16">
        <f>IF(Tabelle26[[#This Row],[Verkehrsmittel]]="Flug", IF(AND(Tabelle26[[#This Row],[Entfernung (km) einfach]]&gt;2000,Tabelle26[[#This Row],[Entfernung (km) einfach]]&lt;5000),Tabelle26[[#This Row],[Entfernung (km) gesamt]], 0), 0)*Tabelle26[[#This Row],[Anzahl Studierende ]]</f>
        <v>0</v>
      </c>
      <c r="R16">
        <f>IF(Tabelle26[[#This Row],[Verkehrsmittel]]="Flug", IF(AND(Tabelle26[[#This Row],[Entfernung (km) einfach]]&gt;5000,Tabelle26[[#This Row],[Entfernung (km) einfach]]&lt;10000),Tabelle26[[#This Row],[Entfernung (km) gesamt]], 0), 0)*Tabelle26[[#This Row],[Anzahl Studierende ]]</f>
        <v>0</v>
      </c>
      <c r="S16">
        <f>IF(Tabelle26[[#This Row],[Verkehrsmittel]]="Flug", IF(AND(Tabelle26[[#This Row],[Entfernung (km) einfach]]&gt;10000),Tabelle26[[#This Row],[Entfernung (km) gesamt]]), 0)*Tabelle26[[#This Row],[Anzahl Studierende ]]</f>
        <v>0</v>
      </c>
      <c r="T16">
        <f>IF(Tabelle26[[#This Row],[Verkehrsmittel]]="Motorrad",Tabelle26[[#This Row],[Entfernung (km) gesamt]],0)*Tabelle26[[#This Row],[Anzahl Studierende ]]</f>
        <v>0</v>
      </c>
      <c r="U16">
        <f>IF(Tabelle26[[#This Row],[Verkehrsmittel]]="Straßen-, S-, U-Bahn",Tabelle26[[#This Row],[Entfernung (km) gesamt]],0)*Tabelle26[[#This Row],[Anzahl Studierende ]]</f>
        <v>0</v>
      </c>
      <c r="V16">
        <f>IF(Tabelle26[[#This Row],[Verkehrsmittel]]="Fahrrad",Tabelle26[[#This Row],[Entfernung (km) gesamt]],0)*Tabelle26[[#This Row],[Anzahl Studierende ]]</f>
        <v>0</v>
      </c>
    </row>
    <row r="17" spans="2:22">
      <c r="B17" s="23"/>
      <c r="C17" s="32"/>
      <c r="D17" s="149"/>
      <c r="E17" s="32"/>
      <c r="F17" s="32"/>
      <c r="G17" s="32"/>
      <c r="H17" s="32">
        <f>Tabelle26[[#This Row],[Entfernung (km) einfach]]*2</f>
        <v>0</v>
      </c>
      <c r="I17" s="128"/>
      <c r="J17" s="148"/>
      <c r="K17" s="35">
        <f>IF(Tabelle26[[#This Row],[Verkehrsmittel]]="Bus",Tabelle26[[#This Row],[Entfernung (km) gesamt]],0)*Tabelle26[[#This Row],[Anzahl Studierende ]]</f>
        <v>0</v>
      </c>
      <c r="L17">
        <f>IF(Tabelle26[[#This Row],[Verkehrsmittel]]="Bahn",Tabelle26[[#This Row],[Anzahl Studierende ]]*Tabelle26[[#This Row],[Entfernung (km) gesamt]],0)</f>
        <v>0</v>
      </c>
      <c r="M17">
        <f>IF(Tabelle26[[#This Row],[Verkehrsmittel]]="PKW",Tabelle26[[#This Row],[Anzahl Studierende ]]*Tabelle26[[#This Row],[Entfernung (km) gesamt]],0)</f>
        <v>0</v>
      </c>
      <c r="N17">
        <f>IF(Tabelle26[[#This Row],[Verkehrsmittel]]="Flug", IF(AND(Tabelle26[[#This Row],[Entfernung (km) einfach]]&lt;500),Tabelle26[[#This Row],[Entfernung (km) gesamt]]), 0)*Tabelle26[[#This Row],[Anzahl Studierende ]]</f>
        <v>0</v>
      </c>
      <c r="O17">
        <f>IF(Tabelle26[[#This Row],[Verkehrsmittel]]="Flug", IF(AND(Tabelle26[[#This Row],[Entfernung (km) einfach]]&gt;500,Tabelle26[[#This Row],[Entfernung (km) einfach]]&lt;1000),Tabelle26[[#This Row],[Entfernung (km) gesamt]], 0), 0)*Tabelle26[[#This Row],[Anzahl Studierende ]]</f>
        <v>0</v>
      </c>
      <c r="P17">
        <f>IF(Tabelle26[[#This Row],[Verkehrsmittel]]="Flug", IF(AND(Tabelle26[[#This Row],[Entfernung (km) einfach]]&gt;1000,Tabelle26[[#This Row],[Entfernung (km) einfach]]&lt;2000),Tabelle26[[#This Row],[Entfernung (km) gesamt]], 0), 0)*Tabelle26[[#This Row],[Anzahl Studierende ]]</f>
        <v>0</v>
      </c>
      <c r="Q17">
        <f>IF(Tabelle26[[#This Row],[Verkehrsmittel]]="Flug", IF(AND(Tabelle26[[#This Row],[Entfernung (km) einfach]]&gt;2000,Tabelle26[[#This Row],[Entfernung (km) einfach]]&lt;5000),Tabelle26[[#This Row],[Entfernung (km) gesamt]], 0), 0)*Tabelle26[[#This Row],[Anzahl Studierende ]]</f>
        <v>0</v>
      </c>
      <c r="R17">
        <f>IF(Tabelle26[[#This Row],[Verkehrsmittel]]="Flug", IF(AND(Tabelle26[[#This Row],[Entfernung (km) einfach]]&gt;5000,Tabelle26[[#This Row],[Entfernung (km) einfach]]&lt;10000),Tabelle26[[#This Row],[Entfernung (km) gesamt]], 0), 0)*Tabelle26[[#This Row],[Anzahl Studierende ]]</f>
        <v>0</v>
      </c>
      <c r="S17">
        <f>IF(Tabelle26[[#This Row],[Verkehrsmittel]]="Flug", IF(AND(Tabelle26[[#This Row],[Entfernung (km) einfach]]&gt;10000),Tabelle26[[#This Row],[Entfernung (km) gesamt]]), 0)*Tabelle26[[#This Row],[Anzahl Studierende ]]</f>
        <v>0</v>
      </c>
      <c r="T17">
        <f>IF(Tabelle26[[#This Row],[Verkehrsmittel]]="Motorrad",Tabelle26[[#This Row],[Entfernung (km) gesamt]],0)*Tabelle26[[#This Row],[Anzahl Studierende ]]</f>
        <v>0</v>
      </c>
      <c r="U17">
        <f>IF(Tabelle26[[#This Row],[Verkehrsmittel]]="Straßen-, S-, U-Bahn",Tabelle26[[#This Row],[Entfernung (km) gesamt]],0)*Tabelle26[[#This Row],[Anzahl Studierende ]]</f>
        <v>0</v>
      </c>
      <c r="V17">
        <f>IF(Tabelle26[[#This Row],[Verkehrsmittel]]="Fahrrad",Tabelle26[[#This Row],[Entfernung (km) gesamt]],0)*Tabelle26[[#This Row],[Anzahl Studierende ]]</f>
        <v>0</v>
      </c>
    </row>
    <row r="18" spans="2:22">
      <c r="B18" s="23"/>
      <c r="C18" s="32"/>
      <c r="D18" s="149"/>
      <c r="E18" s="32"/>
      <c r="F18" s="32"/>
      <c r="G18" s="32"/>
      <c r="H18" s="32">
        <f>Tabelle26[[#This Row],[Entfernung (km) einfach]]*2</f>
        <v>0</v>
      </c>
      <c r="I18" s="128"/>
      <c r="J18" s="148"/>
      <c r="K18" s="35">
        <f>IF(Tabelle26[[#This Row],[Verkehrsmittel]]="Bus",Tabelle26[[#This Row],[Entfernung (km) gesamt]],0)*Tabelle26[[#This Row],[Anzahl Studierende ]]</f>
        <v>0</v>
      </c>
      <c r="L18">
        <f>IF(Tabelle26[[#This Row],[Verkehrsmittel]]="Bahn",Tabelle26[[#This Row],[Anzahl Studierende ]]*Tabelle26[[#This Row],[Entfernung (km) gesamt]],0)</f>
        <v>0</v>
      </c>
      <c r="M18">
        <f>IF(Tabelle26[[#This Row],[Verkehrsmittel]]="PKW",Tabelle26[[#This Row],[Anzahl Studierende ]]*Tabelle26[[#This Row],[Entfernung (km) gesamt]],0)</f>
        <v>0</v>
      </c>
      <c r="N18">
        <f>IF(Tabelle26[[#This Row],[Verkehrsmittel]]="Flug", IF(AND(Tabelle26[[#This Row],[Entfernung (km) einfach]]&lt;500),Tabelle26[[#This Row],[Entfernung (km) gesamt]]), 0)*Tabelle26[[#This Row],[Anzahl Studierende ]]</f>
        <v>0</v>
      </c>
      <c r="O18">
        <f>IF(Tabelle26[[#This Row],[Verkehrsmittel]]="Flug", IF(AND(Tabelle26[[#This Row],[Entfernung (km) einfach]]&gt;500,Tabelle26[[#This Row],[Entfernung (km) einfach]]&lt;1000),Tabelle26[[#This Row],[Entfernung (km) gesamt]], 0), 0)*Tabelle26[[#This Row],[Anzahl Studierende ]]</f>
        <v>0</v>
      </c>
      <c r="P18">
        <f>IF(Tabelle26[[#This Row],[Verkehrsmittel]]="Flug", IF(AND(Tabelle26[[#This Row],[Entfernung (km) einfach]]&gt;1000,Tabelle26[[#This Row],[Entfernung (km) einfach]]&lt;2000),Tabelle26[[#This Row],[Entfernung (km) gesamt]], 0), 0)*Tabelle26[[#This Row],[Anzahl Studierende ]]</f>
        <v>0</v>
      </c>
      <c r="Q18">
        <f>IF(Tabelle26[[#This Row],[Verkehrsmittel]]="Flug", IF(AND(Tabelle26[[#This Row],[Entfernung (km) einfach]]&gt;2000,Tabelle26[[#This Row],[Entfernung (km) einfach]]&lt;5000),Tabelle26[[#This Row],[Entfernung (km) gesamt]], 0), 0)*Tabelle26[[#This Row],[Anzahl Studierende ]]</f>
        <v>0</v>
      </c>
      <c r="R18">
        <f>IF(Tabelle26[[#This Row],[Verkehrsmittel]]="Flug", IF(AND(Tabelle26[[#This Row],[Entfernung (km) einfach]]&gt;5000,Tabelle26[[#This Row],[Entfernung (km) einfach]]&lt;10000),Tabelle26[[#This Row],[Entfernung (km) gesamt]], 0), 0)*Tabelle26[[#This Row],[Anzahl Studierende ]]</f>
        <v>0</v>
      </c>
      <c r="S18">
        <f>IF(Tabelle26[[#This Row],[Verkehrsmittel]]="Flug", IF(AND(Tabelle26[[#This Row],[Entfernung (km) einfach]]&gt;10000),Tabelle26[[#This Row],[Entfernung (km) gesamt]]), 0)*Tabelle26[[#This Row],[Anzahl Studierende ]]</f>
        <v>0</v>
      </c>
      <c r="T18">
        <f>IF(Tabelle26[[#This Row],[Verkehrsmittel]]="Motorrad",Tabelle26[[#This Row],[Entfernung (km) gesamt]],0)*Tabelle26[[#This Row],[Anzahl Studierende ]]</f>
        <v>0</v>
      </c>
      <c r="U18">
        <f>IF(Tabelle26[[#This Row],[Verkehrsmittel]]="Straßen-, S-, U-Bahn",Tabelle26[[#This Row],[Entfernung (km) gesamt]],0)*Tabelle26[[#This Row],[Anzahl Studierende ]]</f>
        <v>0</v>
      </c>
      <c r="V18">
        <f>IF(Tabelle26[[#This Row],[Verkehrsmittel]]="Fahrrad",Tabelle26[[#This Row],[Entfernung (km) gesamt]],0)*Tabelle26[[#This Row],[Anzahl Studierende ]]</f>
        <v>0</v>
      </c>
    </row>
    <row r="19" spans="2:22">
      <c r="B19" s="23"/>
      <c r="C19" s="32"/>
      <c r="D19" s="149"/>
      <c r="E19" s="32"/>
      <c r="F19" s="32"/>
      <c r="G19" s="32"/>
      <c r="H19" s="116">
        <f>Tabelle26[[#This Row],[Entfernung (km) einfach]]*2</f>
        <v>0</v>
      </c>
      <c r="I19" s="128"/>
      <c r="J19" s="148"/>
      <c r="K19" s="44">
        <f>IF(Tabelle26[[#This Row],[Verkehrsmittel]]="Bus",Tabelle26[[#This Row],[Entfernung (km) gesamt]],0)*Tabelle26[[#This Row],[Anzahl Studierende ]]</f>
        <v>0</v>
      </c>
      <c r="L19" s="36">
        <f>IF(Tabelle26[[#This Row],[Verkehrsmittel]]="Bahn",Tabelle26[[#This Row],[Anzahl Studierende ]]*Tabelle26[[#This Row],[Entfernung (km) gesamt]],0)</f>
        <v>0</v>
      </c>
      <c r="M19" s="36">
        <f>IF(Tabelle26[[#This Row],[Verkehrsmittel]]="PKW",Tabelle26[[#This Row],[Anzahl Studierende ]]*Tabelle26[[#This Row],[Entfernung (km) gesamt]],0)</f>
        <v>0</v>
      </c>
      <c r="N19" s="36">
        <f>IF(Tabelle26[[#This Row],[Verkehrsmittel]]="Flug", IF(AND(Tabelle26[[#This Row],[Entfernung (km) einfach]]&lt;500),Tabelle26[[#This Row],[Entfernung (km) gesamt]]), 0)*Tabelle26[[#This Row],[Anzahl Studierende ]]</f>
        <v>0</v>
      </c>
      <c r="O19" s="36">
        <f>IF(Tabelle26[[#This Row],[Verkehrsmittel]]="Flug", IF(AND(Tabelle26[[#This Row],[Entfernung (km) einfach]]&gt;500,Tabelle26[[#This Row],[Entfernung (km) einfach]]&lt;1000),Tabelle26[[#This Row],[Entfernung (km) gesamt]], 0), 0)*Tabelle26[[#This Row],[Anzahl Studierende ]]</f>
        <v>0</v>
      </c>
      <c r="P19" s="36">
        <f>IF(Tabelle26[[#This Row],[Verkehrsmittel]]="Flug", IF(AND(Tabelle26[[#This Row],[Entfernung (km) einfach]]&gt;1000,Tabelle26[[#This Row],[Entfernung (km) einfach]]&lt;2000),Tabelle26[[#This Row],[Entfernung (km) gesamt]], 0), 0)*Tabelle26[[#This Row],[Anzahl Studierende ]]</f>
        <v>0</v>
      </c>
      <c r="Q19" s="36">
        <f>IF(Tabelle26[[#This Row],[Verkehrsmittel]]="Flug", IF(AND(Tabelle26[[#This Row],[Entfernung (km) einfach]]&gt;2000,Tabelle26[[#This Row],[Entfernung (km) einfach]]&lt;5000),Tabelle26[[#This Row],[Entfernung (km) gesamt]], 0), 0)*Tabelle26[[#This Row],[Anzahl Studierende ]]</f>
        <v>0</v>
      </c>
      <c r="R19" s="36">
        <f>IF(Tabelle26[[#This Row],[Verkehrsmittel]]="Flug", IF(AND(Tabelle26[[#This Row],[Entfernung (km) einfach]]&gt;5000,Tabelle26[[#This Row],[Entfernung (km) einfach]]&lt;10000),Tabelle26[[#This Row],[Entfernung (km) gesamt]], 0), 0)*Tabelle26[[#This Row],[Anzahl Studierende ]]</f>
        <v>0</v>
      </c>
      <c r="S19" s="36">
        <f>IF(Tabelle26[[#This Row],[Verkehrsmittel]]="Flug", IF(AND(Tabelle26[[#This Row],[Entfernung (km) einfach]]&gt;10000),Tabelle26[[#This Row],[Entfernung (km) gesamt]]), 0)*Tabelle26[[#This Row],[Anzahl Studierende ]]</f>
        <v>0</v>
      </c>
      <c r="T19" s="36">
        <f>IF(Tabelle26[[#This Row],[Verkehrsmittel]]="Motorrad",Tabelle26[[#This Row],[Entfernung (km) gesamt]],0)*Tabelle26[[#This Row],[Anzahl Studierende ]]</f>
        <v>0</v>
      </c>
      <c r="U19" s="36">
        <f>IF(Tabelle26[[#This Row],[Verkehrsmittel]]="Straßen-, S-, U-Bahn",Tabelle26[[#This Row],[Entfernung (km) gesamt]],0)*Tabelle26[[#This Row],[Anzahl Studierende ]]</f>
        <v>0</v>
      </c>
      <c r="V19" s="36">
        <f>IF(Tabelle26[[#This Row],[Verkehrsmittel]]="Fahrrad",Tabelle26[[#This Row],[Entfernung (km) gesamt]],0)*Tabelle26[[#This Row],[Anzahl Studierende ]]</f>
        <v>0</v>
      </c>
    </row>
    <row r="20" spans="2:22">
      <c r="B20" s="23"/>
      <c r="C20" s="32"/>
      <c r="D20" s="149"/>
      <c r="E20" s="32"/>
      <c r="F20" s="32"/>
      <c r="G20" s="32"/>
      <c r="H20" s="116">
        <f>Tabelle26[[#This Row],[Entfernung (km) einfach]]*2</f>
        <v>0</v>
      </c>
      <c r="I20" s="128"/>
      <c r="J20" s="148"/>
      <c r="K20" s="44">
        <f>IF(Tabelle26[[#This Row],[Verkehrsmittel]]="Bus",Tabelle26[[#This Row],[Entfernung (km) gesamt]],0)*Tabelle26[[#This Row],[Anzahl Studierende ]]</f>
        <v>0</v>
      </c>
      <c r="L20" s="36">
        <f>IF(Tabelle26[[#This Row],[Verkehrsmittel]]="Bahn",Tabelle26[[#This Row],[Anzahl Studierende ]]*Tabelle26[[#This Row],[Entfernung (km) gesamt]],0)</f>
        <v>0</v>
      </c>
      <c r="M20" s="36">
        <f>IF(Tabelle26[[#This Row],[Verkehrsmittel]]="PKW",Tabelle26[[#This Row],[Anzahl Studierende ]]*Tabelle26[[#This Row],[Entfernung (km) gesamt]],0)</f>
        <v>0</v>
      </c>
      <c r="N20" s="36">
        <f>IF(Tabelle26[[#This Row],[Verkehrsmittel]]="Flug", IF(AND(Tabelle26[[#This Row],[Entfernung (km) einfach]]&lt;500),Tabelle26[[#This Row],[Entfernung (km) gesamt]]), 0)*Tabelle26[[#This Row],[Anzahl Studierende ]]</f>
        <v>0</v>
      </c>
      <c r="O20" s="36">
        <f>IF(Tabelle26[[#This Row],[Verkehrsmittel]]="Flug", IF(AND(Tabelle26[[#This Row],[Entfernung (km) einfach]]&gt;500,Tabelle26[[#This Row],[Entfernung (km) einfach]]&lt;1000),Tabelle26[[#This Row],[Entfernung (km) gesamt]], 0), 0)*Tabelle26[[#This Row],[Anzahl Studierende ]]</f>
        <v>0</v>
      </c>
      <c r="P20" s="36">
        <f>IF(Tabelle26[[#This Row],[Verkehrsmittel]]="Flug", IF(AND(Tabelle26[[#This Row],[Entfernung (km) einfach]]&gt;1000,Tabelle26[[#This Row],[Entfernung (km) einfach]]&lt;2000),Tabelle26[[#This Row],[Entfernung (km) gesamt]], 0), 0)*Tabelle26[[#This Row],[Anzahl Studierende ]]</f>
        <v>0</v>
      </c>
      <c r="Q20" s="36">
        <f>IF(Tabelle26[[#This Row],[Verkehrsmittel]]="Flug", IF(AND(Tabelle26[[#This Row],[Entfernung (km) einfach]]&gt;2000,Tabelle26[[#This Row],[Entfernung (km) einfach]]&lt;5000),Tabelle26[[#This Row],[Entfernung (km) gesamt]], 0), 0)*Tabelle26[[#This Row],[Anzahl Studierende ]]</f>
        <v>0</v>
      </c>
      <c r="R20" s="36">
        <f>IF(Tabelle26[[#This Row],[Verkehrsmittel]]="Flug", IF(AND(Tabelle26[[#This Row],[Entfernung (km) einfach]]&gt;5000,Tabelle26[[#This Row],[Entfernung (km) einfach]]&lt;10000),Tabelle26[[#This Row],[Entfernung (km) gesamt]], 0), 0)*Tabelle26[[#This Row],[Anzahl Studierende ]]</f>
        <v>0</v>
      </c>
      <c r="S20" s="36">
        <f>IF(Tabelle26[[#This Row],[Verkehrsmittel]]="Flug", IF(AND(Tabelle26[[#This Row],[Entfernung (km) einfach]]&gt;10000),Tabelle26[[#This Row],[Entfernung (km) gesamt]]), 0)*Tabelle26[[#This Row],[Anzahl Studierende ]]</f>
        <v>0</v>
      </c>
      <c r="T20" s="36">
        <f>IF(Tabelle26[[#This Row],[Verkehrsmittel]]="Motorrad",Tabelle26[[#This Row],[Entfernung (km) gesamt]],0)*Tabelle26[[#This Row],[Anzahl Studierende ]]</f>
        <v>0</v>
      </c>
      <c r="U20" s="36">
        <f>IF(Tabelle26[[#This Row],[Verkehrsmittel]]="Straßen-, S-, U-Bahn",Tabelle26[[#This Row],[Entfernung (km) gesamt]],0)*Tabelle26[[#This Row],[Anzahl Studierende ]]</f>
        <v>0</v>
      </c>
      <c r="V20" s="36">
        <f>IF(Tabelle26[[#This Row],[Verkehrsmittel]]="Fahrrad",Tabelle26[[#This Row],[Entfernung (km) gesamt]],0)*Tabelle26[[#This Row],[Anzahl Studierende ]]</f>
        <v>0</v>
      </c>
    </row>
    <row r="21" spans="2:22">
      <c r="B21" s="23"/>
      <c r="C21" s="32"/>
      <c r="D21" s="149"/>
      <c r="E21" s="32"/>
      <c r="F21" s="32"/>
      <c r="G21" s="32"/>
      <c r="H21" s="116">
        <f>Tabelle26[[#This Row],[Entfernung (km) einfach]]*2</f>
        <v>0</v>
      </c>
      <c r="I21" s="128"/>
      <c r="J21" s="148"/>
      <c r="K21" s="44">
        <f>IF(Tabelle26[[#This Row],[Verkehrsmittel]]="Bus",Tabelle26[[#This Row],[Entfernung (km) gesamt]],0)*Tabelle26[[#This Row],[Anzahl Studierende ]]</f>
        <v>0</v>
      </c>
      <c r="L21" s="36">
        <f>IF(Tabelle26[[#This Row],[Verkehrsmittel]]="Bahn",Tabelle26[[#This Row],[Anzahl Studierende ]]*Tabelle26[[#This Row],[Entfernung (km) gesamt]],0)</f>
        <v>0</v>
      </c>
      <c r="M21" s="36">
        <f>IF(Tabelle26[[#This Row],[Verkehrsmittel]]="PKW",Tabelle26[[#This Row],[Anzahl Studierende ]]*Tabelle26[[#This Row],[Entfernung (km) gesamt]],0)</f>
        <v>0</v>
      </c>
      <c r="N21" s="36">
        <f>IF(Tabelle26[[#This Row],[Verkehrsmittel]]="Flug", IF(AND(Tabelle26[[#This Row],[Entfernung (km) einfach]]&lt;500),Tabelle26[[#This Row],[Entfernung (km) gesamt]]), 0)*Tabelle26[[#This Row],[Anzahl Studierende ]]</f>
        <v>0</v>
      </c>
      <c r="O21" s="36">
        <f>IF(Tabelle26[[#This Row],[Verkehrsmittel]]="Flug", IF(AND(Tabelle26[[#This Row],[Entfernung (km) einfach]]&gt;500,Tabelle26[[#This Row],[Entfernung (km) einfach]]&lt;1000),Tabelle26[[#This Row],[Entfernung (km) gesamt]], 0), 0)*Tabelle26[[#This Row],[Anzahl Studierende ]]</f>
        <v>0</v>
      </c>
      <c r="P21" s="36">
        <f>IF(Tabelle26[[#This Row],[Verkehrsmittel]]="Flug", IF(AND(Tabelle26[[#This Row],[Entfernung (km) einfach]]&gt;1000,Tabelle26[[#This Row],[Entfernung (km) einfach]]&lt;2000),Tabelle26[[#This Row],[Entfernung (km) gesamt]], 0), 0)*Tabelle26[[#This Row],[Anzahl Studierende ]]</f>
        <v>0</v>
      </c>
      <c r="Q21" s="36">
        <f>IF(Tabelle26[[#This Row],[Verkehrsmittel]]="Flug", IF(AND(Tabelle26[[#This Row],[Entfernung (km) einfach]]&gt;2000,Tabelle26[[#This Row],[Entfernung (km) einfach]]&lt;5000),Tabelle26[[#This Row],[Entfernung (km) gesamt]], 0), 0)*Tabelle26[[#This Row],[Anzahl Studierende ]]</f>
        <v>0</v>
      </c>
      <c r="R21" s="36">
        <f>IF(Tabelle26[[#This Row],[Verkehrsmittel]]="Flug", IF(AND(Tabelle26[[#This Row],[Entfernung (km) einfach]]&gt;5000,Tabelle26[[#This Row],[Entfernung (km) einfach]]&lt;10000),Tabelle26[[#This Row],[Entfernung (km) gesamt]], 0), 0)*Tabelle26[[#This Row],[Anzahl Studierende ]]</f>
        <v>0</v>
      </c>
      <c r="S21" s="36">
        <f>IF(Tabelle26[[#This Row],[Verkehrsmittel]]="Flug", IF(AND(Tabelle26[[#This Row],[Entfernung (km) einfach]]&gt;10000),Tabelle26[[#This Row],[Entfernung (km) gesamt]]), 0)*Tabelle26[[#This Row],[Anzahl Studierende ]]</f>
        <v>0</v>
      </c>
      <c r="T21" s="36">
        <f>IF(Tabelle26[[#This Row],[Verkehrsmittel]]="Motorrad",Tabelle26[[#This Row],[Entfernung (km) gesamt]],0)*Tabelle26[[#This Row],[Anzahl Studierende ]]</f>
        <v>0</v>
      </c>
      <c r="U21" s="36">
        <f>IF(Tabelle26[[#This Row],[Verkehrsmittel]]="Straßen-, S-, U-Bahn",Tabelle26[[#This Row],[Entfernung (km) gesamt]],0)*Tabelle26[[#This Row],[Anzahl Studierende ]]</f>
        <v>0</v>
      </c>
      <c r="V21" s="36">
        <f>IF(Tabelle26[[#This Row],[Verkehrsmittel]]="Fahrrad",Tabelle26[[#This Row],[Entfernung (km) gesamt]],0)*Tabelle26[[#This Row],[Anzahl Studierende ]]</f>
        <v>0</v>
      </c>
    </row>
    <row r="22" spans="2:22">
      <c r="B22" s="23"/>
      <c r="C22" s="32"/>
      <c r="D22" s="149"/>
      <c r="E22" s="32"/>
      <c r="F22" s="32"/>
      <c r="G22" s="32"/>
      <c r="H22" s="116">
        <f>Tabelle26[[#This Row],[Entfernung (km) einfach]]*2</f>
        <v>0</v>
      </c>
      <c r="I22" s="128"/>
      <c r="J22" s="148"/>
      <c r="K22" s="44">
        <f>IF(Tabelle26[[#This Row],[Verkehrsmittel]]="Bus",Tabelle26[[#This Row],[Entfernung (km) gesamt]],0)*Tabelle26[[#This Row],[Anzahl Studierende ]]</f>
        <v>0</v>
      </c>
      <c r="L22" s="36">
        <f>IF(Tabelle26[[#This Row],[Verkehrsmittel]]="Bahn",Tabelle26[[#This Row],[Anzahl Studierende ]]*Tabelle26[[#This Row],[Entfernung (km) gesamt]],0)</f>
        <v>0</v>
      </c>
      <c r="M22" s="36">
        <f>IF(Tabelle26[[#This Row],[Verkehrsmittel]]="PKW",Tabelle26[[#This Row],[Anzahl Studierende ]]*Tabelle26[[#This Row],[Entfernung (km) gesamt]],0)</f>
        <v>0</v>
      </c>
      <c r="N22" s="36">
        <f>IF(Tabelle26[[#This Row],[Verkehrsmittel]]="Flug", IF(AND(Tabelle26[[#This Row],[Entfernung (km) einfach]]&lt;500),Tabelle26[[#This Row],[Entfernung (km) gesamt]]), 0)*Tabelle26[[#This Row],[Anzahl Studierende ]]</f>
        <v>0</v>
      </c>
      <c r="O22" s="36">
        <f>IF(Tabelle26[[#This Row],[Verkehrsmittel]]="Flug", IF(AND(Tabelle26[[#This Row],[Entfernung (km) einfach]]&gt;500,Tabelle26[[#This Row],[Entfernung (km) einfach]]&lt;1000),Tabelle26[[#This Row],[Entfernung (km) gesamt]], 0), 0)*Tabelle26[[#This Row],[Anzahl Studierende ]]</f>
        <v>0</v>
      </c>
      <c r="P22" s="36">
        <f>IF(Tabelle26[[#This Row],[Verkehrsmittel]]="Flug", IF(AND(Tabelle26[[#This Row],[Entfernung (km) einfach]]&gt;1000,Tabelle26[[#This Row],[Entfernung (km) einfach]]&lt;2000),Tabelle26[[#This Row],[Entfernung (km) gesamt]], 0), 0)*Tabelle26[[#This Row],[Anzahl Studierende ]]</f>
        <v>0</v>
      </c>
      <c r="Q22" s="36">
        <f>IF(Tabelle26[[#This Row],[Verkehrsmittel]]="Flug", IF(AND(Tabelle26[[#This Row],[Entfernung (km) einfach]]&gt;2000,Tabelle26[[#This Row],[Entfernung (km) einfach]]&lt;5000),Tabelle26[[#This Row],[Entfernung (km) gesamt]], 0), 0)*Tabelle26[[#This Row],[Anzahl Studierende ]]</f>
        <v>0</v>
      </c>
      <c r="R22" s="36">
        <f>IF(Tabelle26[[#This Row],[Verkehrsmittel]]="Flug", IF(AND(Tabelle26[[#This Row],[Entfernung (km) einfach]]&gt;5000,Tabelle26[[#This Row],[Entfernung (km) einfach]]&lt;10000),Tabelle26[[#This Row],[Entfernung (km) gesamt]], 0), 0)*Tabelle26[[#This Row],[Anzahl Studierende ]]</f>
        <v>0</v>
      </c>
      <c r="S22" s="36">
        <f>IF(Tabelle26[[#This Row],[Verkehrsmittel]]="Flug", IF(AND(Tabelle26[[#This Row],[Entfernung (km) einfach]]&gt;10000),Tabelle26[[#This Row],[Entfernung (km) gesamt]]), 0)*Tabelle26[[#This Row],[Anzahl Studierende ]]</f>
        <v>0</v>
      </c>
      <c r="T22" s="36">
        <f>IF(Tabelle26[[#This Row],[Verkehrsmittel]]="Motorrad",Tabelle26[[#This Row],[Entfernung (km) gesamt]],0)*Tabelle26[[#This Row],[Anzahl Studierende ]]</f>
        <v>0</v>
      </c>
      <c r="U22" s="36">
        <f>IF(Tabelle26[[#This Row],[Verkehrsmittel]]="Straßen-, S-, U-Bahn",Tabelle26[[#This Row],[Entfernung (km) gesamt]],0)*Tabelle26[[#This Row],[Anzahl Studierende ]]</f>
        <v>0</v>
      </c>
      <c r="V22" s="36">
        <f>IF(Tabelle26[[#This Row],[Verkehrsmittel]]="Fahrrad",Tabelle26[[#This Row],[Entfernung (km) gesamt]],0)*Tabelle26[[#This Row],[Anzahl Studierende ]]</f>
        <v>0</v>
      </c>
    </row>
    <row r="23" spans="2:22">
      <c r="B23" s="23"/>
      <c r="C23" s="32"/>
      <c r="D23" s="149"/>
      <c r="E23" s="32"/>
      <c r="F23" s="32"/>
      <c r="G23" s="32"/>
      <c r="H23" s="32">
        <f>Tabelle26[[#This Row],[Entfernung (km) einfach]]*2</f>
        <v>0</v>
      </c>
      <c r="I23" s="128"/>
      <c r="J23" s="148"/>
      <c r="K23" s="35">
        <f>IF(Tabelle26[[#This Row],[Verkehrsmittel]]="Bus",Tabelle26[[#This Row],[Entfernung (km) gesamt]],0)*Tabelle26[[#This Row],[Anzahl Studierende ]]</f>
        <v>0</v>
      </c>
      <c r="L23">
        <f>IF(Tabelle26[[#This Row],[Verkehrsmittel]]="Bahn",Tabelle26[[#This Row],[Anzahl Studierende ]]*Tabelle26[[#This Row],[Entfernung (km) gesamt]],0)</f>
        <v>0</v>
      </c>
      <c r="M23">
        <f>IF(Tabelle26[[#This Row],[Verkehrsmittel]]="PKW",Tabelle26[[#This Row],[Anzahl Studierende ]]*Tabelle26[[#This Row],[Entfernung (km) gesamt]],0)</f>
        <v>0</v>
      </c>
      <c r="N23">
        <f>IF(Tabelle26[[#This Row],[Verkehrsmittel]]="Flug", IF(AND(Tabelle26[[#This Row],[Entfernung (km) einfach]]&lt;500),Tabelle26[[#This Row],[Entfernung (km) gesamt]]), 0)*Tabelle26[[#This Row],[Anzahl Studierende ]]</f>
        <v>0</v>
      </c>
      <c r="O23">
        <f>IF(Tabelle26[[#This Row],[Verkehrsmittel]]="Flug", IF(AND(Tabelle26[[#This Row],[Entfernung (km) einfach]]&gt;500,Tabelle26[[#This Row],[Entfernung (km) einfach]]&lt;1000),Tabelle26[[#This Row],[Entfernung (km) gesamt]], 0), 0)*Tabelle26[[#This Row],[Anzahl Studierende ]]</f>
        <v>0</v>
      </c>
      <c r="P23">
        <f>IF(Tabelle26[[#This Row],[Verkehrsmittel]]="Flug", IF(AND(Tabelle26[[#This Row],[Entfernung (km) einfach]]&gt;1000,Tabelle26[[#This Row],[Entfernung (km) einfach]]&lt;2000),Tabelle26[[#This Row],[Entfernung (km) gesamt]], 0), 0)*Tabelle26[[#This Row],[Anzahl Studierende ]]</f>
        <v>0</v>
      </c>
      <c r="Q23">
        <f>IF(Tabelle26[[#This Row],[Verkehrsmittel]]="Flug", IF(AND(Tabelle26[[#This Row],[Entfernung (km) einfach]]&gt;2000,Tabelle26[[#This Row],[Entfernung (km) einfach]]&lt;5000),Tabelle26[[#This Row],[Entfernung (km) gesamt]], 0), 0)*Tabelle26[[#This Row],[Anzahl Studierende ]]</f>
        <v>0</v>
      </c>
      <c r="R23">
        <f>IF(Tabelle26[[#This Row],[Verkehrsmittel]]="Flug", IF(AND(Tabelle26[[#This Row],[Entfernung (km) einfach]]&gt;5000,Tabelle26[[#This Row],[Entfernung (km) einfach]]&lt;10000),Tabelle26[[#This Row],[Entfernung (km) gesamt]], 0), 0)*Tabelle26[[#This Row],[Anzahl Studierende ]]</f>
        <v>0</v>
      </c>
      <c r="S23">
        <f>IF(Tabelle26[[#This Row],[Verkehrsmittel]]="Flug", IF(AND(Tabelle26[[#This Row],[Entfernung (km) einfach]]&gt;10000),Tabelle26[[#This Row],[Entfernung (km) gesamt]]), 0)*Tabelle26[[#This Row],[Anzahl Studierende ]]</f>
        <v>0</v>
      </c>
      <c r="T23">
        <f>IF(Tabelle26[[#This Row],[Verkehrsmittel]]="Motorrad",Tabelle26[[#This Row],[Entfernung (km) gesamt]],0)*Tabelle26[[#This Row],[Anzahl Studierende ]]</f>
        <v>0</v>
      </c>
      <c r="U23">
        <f>IF(Tabelle26[[#This Row],[Verkehrsmittel]]="Straßen-, S-, U-Bahn",Tabelle26[[#This Row],[Entfernung (km) gesamt]],0)*Tabelle26[[#This Row],[Anzahl Studierende ]]</f>
        <v>0</v>
      </c>
      <c r="V23">
        <f>IF(Tabelle26[[#This Row],[Verkehrsmittel]]="Fahrrad",Tabelle26[[#This Row],[Entfernung (km) gesamt]],0)*Tabelle26[[#This Row],[Anzahl Studierende ]]</f>
        <v>0</v>
      </c>
    </row>
    <row r="24" spans="2:22">
      <c r="B24" s="109"/>
      <c r="C24" s="110"/>
      <c r="D24" s="149"/>
      <c r="E24" s="32"/>
      <c r="F24" s="32"/>
      <c r="G24" s="32"/>
      <c r="H24" s="32">
        <f>Tabelle26[[#This Row],[Entfernung (km) einfach]]*2</f>
        <v>0</v>
      </c>
      <c r="I24" s="128"/>
      <c r="J24" s="148"/>
      <c r="K24" s="45">
        <f>IF(Tabelle26[[#This Row],[Verkehrsmittel]]="Bus",Tabelle26[[#This Row],[Entfernung (km) gesamt]],0)*Tabelle26[[#This Row],[Anzahl Studierende ]]</f>
        <v>0</v>
      </c>
      <c r="L24" s="13">
        <f>IF(Tabelle26[[#This Row],[Verkehrsmittel]]="Bahn",Tabelle26[[#This Row],[Anzahl Studierende ]]*Tabelle26[[#This Row],[Entfernung (km) gesamt]],0)</f>
        <v>0</v>
      </c>
      <c r="M24" s="13">
        <f>IF(Tabelle26[[#This Row],[Verkehrsmittel]]="PKW",Tabelle26[[#This Row],[Anzahl Studierende ]]*Tabelle26[[#This Row],[Entfernung (km) gesamt]],0)</f>
        <v>0</v>
      </c>
      <c r="N24" s="13">
        <f>IF(Tabelle26[[#This Row],[Verkehrsmittel]]="Flug", IF(AND(Tabelle26[[#This Row],[Entfernung (km) einfach]]&lt;500),Tabelle26[[#This Row],[Entfernung (km) gesamt]]), 0)*Tabelle26[[#This Row],[Anzahl Studierende ]]</f>
        <v>0</v>
      </c>
      <c r="O24" s="13">
        <f>IF(Tabelle26[[#This Row],[Verkehrsmittel]]="Flug", IF(AND(Tabelle26[[#This Row],[Entfernung (km) einfach]]&gt;500,Tabelle26[[#This Row],[Entfernung (km) einfach]]&lt;1000),Tabelle26[[#This Row],[Entfernung (km) gesamt]], 0), 0)*Tabelle26[[#This Row],[Anzahl Studierende ]]</f>
        <v>0</v>
      </c>
      <c r="P24" s="13">
        <f>IF(Tabelle26[[#This Row],[Verkehrsmittel]]="Flug", IF(AND(Tabelle26[[#This Row],[Entfernung (km) einfach]]&gt;1000,Tabelle26[[#This Row],[Entfernung (km) einfach]]&lt;2000),Tabelle26[[#This Row],[Entfernung (km) gesamt]], 0), 0)*Tabelle26[[#This Row],[Anzahl Studierende ]]</f>
        <v>0</v>
      </c>
      <c r="Q24" s="13">
        <f>IF(Tabelle26[[#This Row],[Verkehrsmittel]]="Flug", IF(AND(Tabelle26[[#This Row],[Entfernung (km) einfach]]&gt;2000,Tabelle26[[#This Row],[Entfernung (km) einfach]]&lt;5000),Tabelle26[[#This Row],[Entfernung (km) gesamt]], 0), 0)*Tabelle26[[#This Row],[Anzahl Studierende ]]</f>
        <v>0</v>
      </c>
      <c r="R24" s="13">
        <f>IF(Tabelle26[[#This Row],[Verkehrsmittel]]="Flug", IF(AND(Tabelle26[[#This Row],[Entfernung (km) einfach]]&gt;5000,Tabelle26[[#This Row],[Entfernung (km) einfach]]&lt;10000),Tabelle26[[#This Row],[Entfernung (km) gesamt]], 0), 0)*Tabelle26[[#This Row],[Anzahl Studierende ]]</f>
        <v>0</v>
      </c>
      <c r="S24">
        <f>IF(Tabelle26[[#This Row],[Verkehrsmittel]]="Flug", IF(AND(Tabelle26[[#This Row],[Entfernung (km) einfach]]&gt;10000),Tabelle26[[#This Row],[Entfernung (km) gesamt]]), 0)*Tabelle26[[#This Row],[Anzahl Studierende ]]</f>
        <v>0</v>
      </c>
      <c r="T24">
        <f>IF(Tabelle26[[#This Row],[Verkehrsmittel]]="Motorrad",Tabelle26[[#This Row],[Entfernung (km) gesamt]],0)*Tabelle26[[#This Row],[Anzahl Studierende ]]</f>
        <v>0</v>
      </c>
      <c r="U24">
        <f>IF(Tabelle26[[#This Row],[Verkehrsmittel]]="Straßen-, S-, U-Bahn",Tabelle26[[#This Row],[Entfernung (km) gesamt]],0)*Tabelle26[[#This Row],[Anzahl Studierende ]]</f>
        <v>0</v>
      </c>
      <c r="V24">
        <f>IF(Tabelle26[[#This Row],[Verkehrsmittel]]="Fahrrad",Tabelle26[[#This Row],[Entfernung (km) gesamt]],0)*Tabelle26[[#This Row],[Anzahl Studierende ]]</f>
        <v>0</v>
      </c>
    </row>
    <row r="25" spans="2:22">
      <c r="B25" s="109"/>
      <c r="C25" s="110"/>
      <c r="D25" s="149"/>
      <c r="E25" s="155"/>
      <c r="F25" s="32"/>
      <c r="G25" s="149"/>
      <c r="H25" s="149">
        <f>Tabelle26[[#This Row],[Entfernung (km) einfach]]*2</f>
        <v>0</v>
      </c>
      <c r="I25" s="128"/>
      <c r="J25" s="148"/>
      <c r="K25" s="45">
        <f>IF(Tabelle26[[#This Row],[Verkehrsmittel]]="Bus",Tabelle26[[#This Row],[Entfernung (km) gesamt]],0)*Tabelle26[[#This Row],[Anzahl Studierende ]]</f>
        <v>0</v>
      </c>
      <c r="L25">
        <f>IF(Tabelle26[[#This Row],[Verkehrsmittel]]="Bahn",Tabelle26[[#This Row],[Anzahl Studierende ]]*Tabelle26[[#This Row],[Entfernung (km) gesamt]],0)</f>
        <v>0</v>
      </c>
      <c r="M25">
        <f>IF(Tabelle26[[#This Row],[Verkehrsmittel]]="PKW",Tabelle26[[#This Row],[Anzahl Studierende ]]*Tabelle26[[#This Row],[Entfernung (km) gesamt]],0)</f>
        <v>0</v>
      </c>
      <c r="N25">
        <f>IF(Tabelle26[[#This Row],[Verkehrsmittel]]="Flug", IF(AND(Tabelle26[[#This Row],[Entfernung (km) einfach]]&lt;500),Tabelle26[[#This Row],[Entfernung (km) gesamt]]), 0)*Tabelle26[[#This Row],[Anzahl Studierende ]]</f>
        <v>0</v>
      </c>
      <c r="O25">
        <f>IF(Tabelle26[[#This Row],[Verkehrsmittel]]="Flug", IF(AND(Tabelle26[[#This Row],[Entfernung (km) einfach]]&gt;500,Tabelle26[[#This Row],[Entfernung (km) einfach]]&lt;1000),Tabelle26[[#This Row],[Entfernung (km) gesamt]], 0), 0)*Tabelle26[[#This Row],[Anzahl Studierende ]]</f>
        <v>0</v>
      </c>
      <c r="P25">
        <f>IF(Tabelle26[[#This Row],[Verkehrsmittel]]="Flug", IF(AND(Tabelle26[[#This Row],[Entfernung (km) einfach]]&gt;1000,Tabelle26[[#This Row],[Entfernung (km) einfach]]&lt;2000),Tabelle26[[#This Row],[Entfernung (km) gesamt]], 0), 0)*Tabelle26[[#This Row],[Anzahl Studierende ]]</f>
        <v>0</v>
      </c>
      <c r="Q25">
        <f>IF(Tabelle26[[#This Row],[Verkehrsmittel]]="Flug", IF(AND(Tabelle26[[#This Row],[Entfernung (km) einfach]]&gt;2000,Tabelle26[[#This Row],[Entfernung (km) einfach]]&lt;5000),Tabelle26[[#This Row],[Entfernung (km) gesamt]], 0), 0)*Tabelle26[[#This Row],[Anzahl Studierende ]]</f>
        <v>0</v>
      </c>
      <c r="R25">
        <f>IF(Tabelle26[[#This Row],[Verkehrsmittel]]="Flug", IF(AND(Tabelle26[[#This Row],[Entfernung (km) einfach]]&gt;5000,Tabelle26[[#This Row],[Entfernung (km) einfach]]&lt;10000),Tabelle26[[#This Row],[Entfernung (km) gesamt]], 0), 0)*Tabelle26[[#This Row],[Anzahl Studierende ]]</f>
        <v>0</v>
      </c>
      <c r="S25">
        <f>IF(Tabelle26[[#This Row],[Verkehrsmittel]]="Flug", IF(AND(Tabelle26[[#This Row],[Entfernung (km) einfach]]&gt;10000),Tabelle26[[#This Row],[Entfernung (km) gesamt]]), 0)*Tabelle26[[#This Row],[Anzahl Studierende ]]</f>
        <v>0</v>
      </c>
      <c r="T25">
        <f>IF(Tabelle26[[#This Row],[Verkehrsmittel]]="Motorrad",Tabelle26[[#This Row],[Entfernung (km) gesamt]],0)*Tabelle26[[#This Row],[Anzahl Studierende ]]</f>
        <v>0</v>
      </c>
      <c r="U25">
        <f>IF(Tabelle26[[#This Row],[Verkehrsmittel]]="Straßen-, S-, U-Bahn",Tabelle26[[#This Row],[Entfernung (km) gesamt]],0)*Tabelle26[[#This Row],[Anzahl Studierende ]]</f>
        <v>0</v>
      </c>
      <c r="V25">
        <f>IF(Tabelle26[[#This Row],[Verkehrsmittel]]="Fahrrad",Tabelle26[[#This Row],[Entfernung (km) gesamt]],0)*Tabelle26[[#This Row],[Anzahl Studierende ]]</f>
        <v>0</v>
      </c>
    </row>
    <row r="26" spans="2:22">
      <c r="B26" s="109"/>
      <c r="C26" s="110"/>
      <c r="D26" s="149"/>
      <c r="E26" s="32"/>
      <c r="F26" s="32"/>
      <c r="G26" s="32"/>
      <c r="H26" s="32">
        <f>Tabelle26[[#This Row],[Entfernung (km) einfach]]*2</f>
        <v>0</v>
      </c>
      <c r="I26" s="128"/>
      <c r="J26" s="148"/>
      <c r="K26" s="45">
        <f>IF(Tabelle26[[#This Row],[Verkehrsmittel]]="Bus",Tabelle26[[#This Row],[Entfernung (km) gesamt]],0)*Tabelle26[[#This Row],[Anzahl Studierende ]]</f>
        <v>0</v>
      </c>
      <c r="L26">
        <f>IF(Tabelle26[[#This Row],[Verkehrsmittel]]="Bahn",Tabelle26[[#This Row],[Anzahl Studierende ]]*Tabelle26[[#This Row],[Entfernung (km) gesamt]],0)</f>
        <v>0</v>
      </c>
      <c r="M26">
        <f>IF(Tabelle26[[#This Row],[Verkehrsmittel]]="PKW",Tabelle26[[#This Row],[Anzahl Studierende ]]*Tabelle26[[#This Row],[Entfernung (km) gesamt]],0)</f>
        <v>0</v>
      </c>
      <c r="N26">
        <f>IF(Tabelle26[[#This Row],[Verkehrsmittel]]="Flug", IF(AND(Tabelle26[[#This Row],[Entfernung (km) einfach]]&lt;500),Tabelle26[[#This Row],[Entfernung (km) gesamt]]), 0)*Tabelle26[[#This Row],[Anzahl Studierende ]]</f>
        <v>0</v>
      </c>
      <c r="O26">
        <f>IF(Tabelle26[[#This Row],[Verkehrsmittel]]="Flug", IF(AND(Tabelle26[[#This Row],[Entfernung (km) einfach]]&gt;500,Tabelle26[[#This Row],[Entfernung (km) einfach]]&lt;1000),Tabelle26[[#This Row],[Entfernung (km) gesamt]], 0), 0)*Tabelle26[[#This Row],[Anzahl Studierende ]]</f>
        <v>0</v>
      </c>
      <c r="P26">
        <f>IF(Tabelle26[[#This Row],[Verkehrsmittel]]="Flug", IF(AND(Tabelle26[[#This Row],[Entfernung (km) einfach]]&gt;1000,Tabelle26[[#This Row],[Entfernung (km) einfach]]&lt;2000),Tabelle26[[#This Row],[Entfernung (km) gesamt]], 0), 0)*Tabelle26[[#This Row],[Anzahl Studierende ]]</f>
        <v>0</v>
      </c>
      <c r="Q26">
        <f>IF(Tabelle26[[#This Row],[Verkehrsmittel]]="Flug", IF(AND(Tabelle26[[#This Row],[Entfernung (km) einfach]]&gt;2000,Tabelle26[[#This Row],[Entfernung (km) einfach]]&lt;5000),Tabelle26[[#This Row],[Entfernung (km) gesamt]], 0), 0)*Tabelle26[[#This Row],[Anzahl Studierende ]]</f>
        <v>0</v>
      </c>
      <c r="R26">
        <f>IF(Tabelle26[[#This Row],[Verkehrsmittel]]="Flug", IF(AND(Tabelle26[[#This Row],[Entfernung (km) einfach]]&gt;5000,Tabelle26[[#This Row],[Entfernung (km) einfach]]&lt;10000),Tabelle26[[#This Row],[Entfernung (km) gesamt]], 0), 0)*Tabelle26[[#This Row],[Anzahl Studierende ]]</f>
        <v>0</v>
      </c>
      <c r="S26">
        <f>IF(Tabelle26[[#This Row],[Verkehrsmittel]]="Flug", IF(AND(Tabelle26[[#This Row],[Entfernung (km) einfach]]&gt;10000),Tabelle26[[#This Row],[Entfernung (km) gesamt]]), 0)*Tabelle26[[#This Row],[Anzahl Studierende ]]</f>
        <v>0</v>
      </c>
      <c r="T26">
        <f>IF(Tabelle26[[#This Row],[Verkehrsmittel]]="Motorrad",Tabelle26[[#This Row],[Entfernung (km) gesamt]],0)*Tabelle26[[#This Row],[Anzahl Studierende ]]</f>
        <v>0</v>
      </c>
      <c r="U26">
        <f>IF(Tabelle26[[#This Row],[Verkehrsmittel]]="Straßen-, S-, U-Bahn",Tabelle26[[#This Row],[Entfernung (km) gesamt]],0)*Tabelle26[[#This Row],[Anzahl Studierende ]]</f>
        <v>0</v>
      </c>
      <c r="V26">
        <f>IF(Tabelle26[[#This Row],[Verkehrsmittel]]="Fahrrad",Tabelle26[[#This Row],[Entfernung (km) gesamt]],0)*Tabelle26[[#This Row],[Anzahl Studierende ]]</f>
        <v>0</v>
      </c>
    </row>
    <row r="27" spans="2:22">
      <c r="B27" s="109"/>
      <c r="C27" s="110"/>
      <c r="D27" s="149"/>
      <c r="E27" s="32"/>
      <c r="F27" s="32"/>
      <c r="G27" s="32"/>
      <c r="H27" s="32">
        <f>Tabelle26[[#This Row],[Entfernung (km) einfach]]*2</f>
        <v>0</v>
      </c>
      <c r="I27" s="128"/>
      <c r="J27" s="148"/>
      <c r="K27" s="45">
        <f>IF(Tabelle26[[#This Row],[Verkehrsmittel]]="Bus",Tabelle26[[#This Row],[Entfernung (km) gesamt]],0)*Tabelle26[[#This Row],[Anzahl Studierende ]]</f>
        <v>0</v>
      </c>
      <c r="L27">
        <f>IF(Tabelle26[[#This Row],[Verkehrsmittel]]="Bahn",Tabelle26[[#This Row],[Anzahl Studierende ]]*Tabelle26[[#This Row],[Entfernung (km) gesamt]],0)</f>
        <v>0</v>
      </c>
      <c r="M27">
        <f>IF(Tabelle26[[#This Row],[Verkehrsmittel]]="PKW",Tabelle26[[#This Row],[Anzahl Studierende ]]*Tabelle26[[#This Row],[Entfernung (km) gesamt]],0)</f>
        <v>0</v>
      </c>
      <c r="N27">
        <f>IF(Tabelle26[[#This Row],[Verkehrsmittel]]="Flug", IF(AND(Tabelle26[[#This Row],[Entfernung (km) einfach]]&lt;500),Tabelle26[[#This Row],[Entfernung (km) gesamt]]), 0)*Tabelle26[[#This Row],[Anzahl Studierende ]]</f>
        <v>0</v>
      </c>
      <c r="O27">
        <f>IF(Tabelle26[[#This Row],[Verkehrsmittel]]="Flug", IF(AND(Tabelle26[[#This Row],[Entfernung (km) einfach]]&gt;500,Tabelle26[[#This Row],[Entfernung (km) einfach]]&lt;1000),Tabelle26[[#This Row],[Entfernung (km) gesamt]], 0), 0)*Tabelle26[[#This Row],[Anzahl Studierende ]]</f>
        <v>0</v>
      </c>
      <c r="P27">
        <f>IF(Tabelle26[[#This Row],[Verkehrsmittel]]="Flug", IF(AND(Tabelle26[[#This Row],[Entfernung (km) einfach]]&gt;1000,Tabelle26[[#This Row],[Entfernung (km) einfach]]&lt;2000),Tabelle26[[#This Row],[Entfernung (km) gesamt]], 0), 0)*Tabelle26[[#This Row],[Anzahl Studierende ]]</f>
        <v>0</v>
      </c>
      <c r="Q27">
        <f>IF(Tabelle26[[#This Row],[Verkehrsmittel]]="Flug", IF(AND(Tabelle26[[#This Row],[Entfernung (km) einfach]]&gt;2000,Tabelle26[[#This Row],[Entfernung (km) einfach]]&lt;5000),Tabelle26[[#This Row],[Entfernung (km) gesamt]], 0), 0)*Tabelle26[[#This Row],[Anzahl Studierende ]]</f>
        <v>0</v>
      </c>
      <c r="R27">
        <f>IF(Tabelle26[[#This Row],[Verkehrsmittel]]="Flug", IF(AND(Tabelle26[[#This Row],[Entfernung (km) einfach]]&gt;5000,Tabelle26[[#This Row],[Entfernung (km) einfach]]&lt;10000),Tabelle26[[#This Row],[Entfernung (km) gesamt]], 0), 0)*Tabelle26[[#This Row],[Anzahl Studierende ]]</f>
        <v>0</v>
      </c>
      <c r="S27">
        <f>IF(Tabelle26[[#This Row],[Verkehrsmittel]]="Flug", IF(AND(Tabelle26[[#This Row],[Entfernung (km) einfach]]&gt;10000),Tabelle26[[#This Row],[Entfernung (km) gesamt]]), 0)*Tabelle26[[#This Row],[Anzahl Studierende ]]</f>
        <v>0</v>
      </c>
      <c r="T27">
        <f>IF(Tabelle26[[#This Row],[Verkehrsmittel]]="Motorrad",Tabelle26[[#This Row],[Entfernung (km) gesamt]],0)*Tabelle26[[#This Row],[Anzahl Studierende ]]</f>
        <v>0</v>
      </c>
      <c r="U27">
        <f>IF(Tabelle26[[#This Row],[Verkehrsmittel]]="Straßen-, S-, U-Bahn",Tabelle26[[#This Row],[Entfernung (km) gesamt]],0)*Tabelle26[[#This Row],[Anzahl Studierende ]]</f>
        <v>0</v>
      </c>
      <c r="V27">
        <f>IF(Tabelle26[[#This Row],[Verkehrsmittel]]="Fahrrad",Tabelle26[[#This Row],[Entfernung (km) gesamt]],0)*Tabelle26[[#This Row],[Anzahl Studierende ]]</f>
        <v>0</v>
      </c>
    </row>
    <row r="28" spans="2:22">
      <c r="B28" s="109"/>
      <c r="C28" s="110"/>
      <c r="D28" s="149"/>
      <c r="E28" s="32"/>
      <c r="F28" s="32"/>
      <c r="G28" s="32"/>
      <c r="H28" s="32">
        <f>Tabelle26[[#This Row],[Entfernung (km) einfach]]*2</f>
        <v>0</v>
      </c>
      <c r="I28" s="128"/>
      <c r="J28" s="148"/>
      <c r="K28" s="45">
        <f>IF(Tabelle26[[#This Row],[Verkehrsmittel]]="Bus",Tabelle26[[#This Row],[Entfernung (km) gesamt]],0)*Tabelle26[[#This Row],[Anzahl Studierende ]]</f>
        <v>0</v>
      </c>
      <c r="L28">
        <f>IF(Tabelle26[[#This Row],[Verkehrsmittel]]="Bahn",Tabelle26[[#This Row],[Anzahl Studierende ]]*Tabelle26[[#This Row],[Entfernung (km) gesamt]],0)</f>
        <v>0</v>
      </c>
      <c r="M28">
        <f>IF(Tabelle26[[#This Row],[Verkehrsmittel]]="PKW",Tabelle26[[#This Row],[Anzahl Studierende ]]*Tabelle26[[#This Row],[Entfernung (km) gesamt]],0)</f>
        <v>0</v>
      </c>
      <c r="N28">
        <f>IF(Tabelle26[[#This Row],[Verkehrsmittel]]="Flug", IF(AND(Tabelle26[[#This Row],[Entfernung (km) einfach]]&lt;500),Tabelle26[[#This Row],[Entfernung (km) gesamt]]), 0)*Tabelle26[[#This Row],[Anzahl Studierende ]]</f>
        <v>0</v>
      </c>
      <c r="O28">
        <f>IF(Tabelle26[[#This Row],[Verkehrsmittel]]="Flug", IF(AND(Tabelle26[[#This Row],[Entfernung (km) einfach]]&gt;500,Tabelle26[[#This Row],[Entfernung (km) einfach]]&lt;1000),Tabelle26[[#This Row],[Entfernung (km) gesamt]], 0), 0)*Tabelle26[[#This Row],[Anzahl Studierende ]]</f>
        <v>0</v>
      </c>
      <c r="P28">
        <f>IF(Tabelle26[[#This Row],[Verkehrsmittel]]="Flug", IF(AND(Tabelle26[[#This Row],[Entfernung (km) einfach]]&gt;1000,Tabelle26[[#This Row],[Entfernung (km) einfach]]&lt;2000),Tabelle26[[#This Row],[Entfernung (km) gesamt]], 0), 0)*Tabelle26[[#This Row],[Anzahl Studierende ]]</f>
        <v>0</v>
      </c>
      <c r="Q28">
        <f>IF(Tabelle26[[#This Row],[Verkehrsmittel]]="Flug", IF(AND(Tabelle26[[#This Row],[Entfernung (km) einfach]]&gt;2000,Tabelle26[[#This Row],[Entfernung (km) einfach]]&lt;5000),Tabelle26[[#This Row],[Entfernung (km) gesamt]], 0), 0)*Tabelle26[[#This Row],[Anzahl Studierende ]]</f>
        <v>0</v>
      </c>
      <c r="R28">
        <f>IF(Tabelle26[[#This Row],[Verkehrsmittel]]="Flug", IF(AND(Tabelle26[[#This Row],[Entfernung (km) einfach]]&gt;5000,Tabelle26[[#This Row],[Entfernung (km) einfach]]&lt;10000),Tabelle26[[#This Row],[Entfernung (km) gesamt]], 0), 0)*Tabelle26[[#This Row],[Anzahl Studierende ]]</f>
        <v>0</v>
      </c>
      <c r="S28">
        <f>IF(Tabelle26[[#This Row],[Verkehrsmittel]]="Flug", IF(AND(Tabelle26[[#This Row],[Entfernung (km) einfach]]&gt;10000),Tabelle26[[#This Row],[Entfernung (km) gesamt]]), 0)*Tabelle26[[#This Row],[Anzahl Studierende ]]</f>
        <v>0</v>
      </c>
      <c r="T28">
        <f>IF(Tabelle26[[#This Row],[Verkehrsmittel]]="Motorrad",Tabelle26[[#This Row],[Entfernung (km) gesamt]],0)*Tabelle26[[#This Row],[Anzahl Studierende ]]</f>
        <v>0</v>
      </c>
      <c r="U28">
        <f>IF(Tabelle26[[#This Row],[Verkehrsmittel]]="Straßen-, S-, U-Bahn",Tabelle26[[#This Row],[Entfernung (km) gesamt]],0)*Tabelle26[[#This Row],[Anzahl Studierende ]]</f>
        <v>0</v>
      </c>
      <c r="V28">
        <f>IF(Tabelle26[[#This Row],[Verkehrsmittel]]="Fahrrad",Tabelle26[[#This Row],[Entfernung (km) gesamt]],0)*Tabelle26[[#This Row],[Anzahl Studierende ]]</f>
        <v>0</v>
      </c>
    </row>
    <row r="29" spans="2:22">
      <c r="B29" s="109"/>
      <c r="C29" s="110"/>
      <c r="D29" s="149"/>
      <c r="E29" s="32"/>
      <c r="F29" s="32"/>
      <c r="G29" s="32"/>
      <c r="H29" s="32">
        <f>Tabelle26[[#This Row],[Entfernung (km) einfach]]*2</f>
        <v>0</v>
      </c>
      <c r="I29" s="128"/>
      <c r="J29" s="148"/>
      <c r="K29" s="45">
        <f>IF(Tabelle26[[#This Row],[Verkehrsmittel]]="Bus",Tabelle26[[#This Row],[Entfernung (km) gesamt]],0)*Tabelle26[[#This Row],[Anzahl Studierende ]]</f>
        <v>0</v>
      </c>
      <c r="L29">
        <f>IF(Tabelle26[[#This Row],[Verkehrsmittel]]="Bahn",Tabelle26[[#This Row],[Anzahl Studierende ]]*Tabelle26[[#This Row],[Entfernung (km) gesamt]],0)</f>
        <v>0</v>
      </c>
      <c r="M29">
        <f>IF(Tabelle26[[#This Row],[Verkehrsmittel]]="PKW",Tabelle26[[#This Row],[Anzahl Studierende ]]*Tabelle26[[#This Row],[Entfernung (km) gesamt]],0)</f>
        <v>0</v>
      </c>
      <c r="N29">
        <f>IF(Tabelle26[[#This Row],[Verkehrsmittel]]="Flug", IF(AND(Tabelle26[[#This Row],[Entfernung (km) einfach]]&lt;500),Tabelle26[[#This Row],[Entfernung (km) gesamt]]), 0)*Tabelle26[[#This Row],[Anzahl Studierende ]]</f>
        <v>0</v>
      </c>
      <c r="O29">
        <f>IF(Tabelle26[[#This Row],[Verkehrsmittel]]="Flug", IF(AND(Tabelle26[[#This Row],[Entfernung (km) einfach]]&gt;500,Tabelle26[[#This Row],[Entfernung (km) einfach]]&lt;1000),Tabelle26[[#This Row],[Entfernung (km) gesamt]], 0), 0)*Tabelle26[[#This Row],[Anzahl Studierende ]]</f>
        <v>0</v>
      </c>
      <c r="P29">
        <f>IF(Tabelle26[[#This Row],[Verkehrsmittel]]="Flug", IF(AND(Tabelle26[[#This Row],[Entfernung (km) einfach]]&gt;1000,Tabelle26[[#This Row],[Entfernung (km) einfach]]&lt;2000),Tabelle26[[#This Row],[Entfernung (km) gesamt]], 0), 0)*Tabelle26[[#This Row],[Anzahl Studierende ]]</f>
        <v>0</v>
      </c>
      <c r="Q29">
        <f>IF(Tabelle26[[#This Row],[Verkehrsmittel]]="Flug", IF(AND(Tabelle26[[#This Row],[Entfernung (km) einfach]]&gt;2000,Tabelle26[[#This Row],[Entfernung (km) einfach]]&lt;5000),Tabelle26[[#This Row],[Entfernung (km) gesamt]], 0), 0)*Tabelle26[[#This Row],[Anzahl Studierende ]]</f>
        <v>0</v>
      </c>
      <c r="R29">
        <f>IF(Tabelle26[[#This Row],[Verkehrsmittel]]="Flug", IF(AND(Tabelle26[[#This Row],[Entfernung (km) einfach]]&gt;5000,Tabelle26[[#This Row],[Entfernung (km) einfach]]&lt;10000),Tabelle26[[#This Row],[Entfernung (km) gesamt]], 0), 0)*Tabelle26[[#This Row],[Anzahl Studierende ]]</f>
        <v>0</v>
      </c>
      <c r="S29">
        <f>IF(Tabelle26[[#This Row],[Verkehrsmittel]]="Flug", IF(AND(Tabelle26[[#This Row],[Entfernung (km) einfach]]&gt;10000),Tabelle26[[#This Row],[Entfernung (km) gesamt]]), 0)*Tabelle26[[#This Row],[Anzahl Studierende ]]</f>
        <v>0</v>
      </c>
      <c r="T29">
        <f>IF(Tabelle26[[#This Row],[Verkehrsmittel]]="Motorrad",Tabelle26[[#This Row],[Entfernung (km) gesamt]],0)*Tabelle26[[#This Row],[Anzahl Studierende ]]</f>
        <v>0</v>
      </c>
      <c r="U29">
        <f>IF(Tabelle26[[#This Row],[Verkehrsmittel]]="Straßen-, S-, U-Bahn",Tabelle26[[#This Row],[Entfernung (km) gesamt]],0)*Tabelle26[[#This Row],[Anzahl Studierende ]]</f>
        <v>0</v>
      </c>
      <c r="V29">
        <f>IF(Tabelle26[[#This Row],[Verkehrsmittel]]="Fahrrad",Tabelle26[[#This Row],[Entfernung (km) gesamt]],0)*Tabelle26[[#This Row],[Anzahl Studierende ]]</f>
        <v>0</v>
      </c>
    </row>
    <row r="30" spans="2:22">
      <c r="B30" s="109"/>
      <c r="C30" s="110"/>
      <c r="D30" s="149"/>
      <c r="E30" s="32"/>
      <c r="F30" s="32"/>
      <c r="G30" s="32"/>
      <c r="H30" s="32">
        <f>Tabelle26[[#This Row],[Entfernung (km) einfach]]*2</f>
        <v>0</v>
      </c>
      <c r="I30" s="128"/>
      <c r="J30" s="148"/>
      <c r="K30" s="45">
        <f>IF(Tabelle26[[#This Row],[Verkehrsmittel]]="Bus",Tabelle26[[#This Row],[Entfernung (km) gesamt]],0)*Tabelle26[[#This Row],[Anzahl Studierende ]]</f>
        <v>0</v>
      </c>
      <c r="L30">
        <f>IF(Tabelle26[[#This Row],[Verkehrsmittel]]="Bahn",Tabelle26[[#This Row],[Anzahl Studierende ]]*Tabelle26[[#This Row],[Entfernung (km) gesamt]],0)</f>
        <v>0</v>
      </c>
      <c r="M30">
        <f>IF(Tabelle26[[#This Row],[Verkehrsmittel]]="PKW",Tabelle26[[#This Row],[Anzahl Studierende ]]*Tabelle26[[#This Row],[Entfernung (km) gesamt]],0)</f>
        <v>0</v>
      </c>
      <c r="N30">
        <f>IF(Tabelle26[[#This Row],[Verkehrsmittel]]="Flug", IF(AND(Tabelle26[[#This Row],[Entfernung (km) einfach]]&lt;500),Tabelle26[[#This Row],[Entfernung (km) gesamt]]), 0)*Tabelle26[[#This Row],[Anzahl Studierende ]]</f>
        <v>0</v>
      </c>
      <c r="O30">
        <f>IF(Tabelle26[[#This Row],[Verkehrsmittel]]="Flug", IF(AND(Tabelle26[[#This Row],[Entfernung (km) einfach]]&gt;500,Tabelle26[[#This Row],[Entfernung (km) einfach]]&lt;1000),Tabelle26[[#This Row],[Entfernung (km) gesamt]], 0), 0)*Tabelle26[[#This Row],[Anzahl Studierende ]]</f>
        <v>0</v>
      </c>
      <c r="P30">
        <f>IF(Tabelle26[[#This Row],[Verkehrsmittel]]="Flug", IF(AND(Tabelle26[[#This Row],[Entfernung (km) einfach]]&gt;1000,Tabelle26[[#This Row],[Entfernung (km) einfach]]&lt;2000),Tabelle26[[#This Row],[Entfernung (km) gesamt]], 0), 0)*Tabelle26[[#This Row],[Anzahl Studierende ]]</f>
        <v>0</v>
      </c>
      <c r="Q30">
        <f>IF(Tabelle26[[#This Row],[Verkehrsmittel]]="Flug", IF(AND(Tabelle26[[#This Row],[Entfernung (km) einfach]]&gt;2000,Tabelle26[[#This Row],[Entfernung (km) einfach]]&lt;5000),Tabelle26[[#This Row],[Entfernung (km) gesamt]], 0), 0)*Tabelle26[[#This Row],[Anzahl Studierende ]]</f>
        <v>0</v>
      </c>
      <c r="R30">
        <f>IF(Tabelle26[[#This Row],[Verkehrsmittel]]="Flug", IF(AND(Tabelle26[[#This Row],[Entfernung (km) einfach]]&gt;5000,Tabelle26[[#This Row],[Entfernung (km) einfach]]&lt;10000),Tabelle26[[#This Row],[Entfernung (km) gesamt]], 0), 0)*Tabelle26[[#This Row],[Anzahl Studierende ]]</f>
        <v>0</v>
      </c>
      <c r="S30">
        <f>IF(Tabelle26[[#This Row],[Verkehrsmittel]]="Flug", IF(AND(Tabelle26[[#This Row],[Entfernung (km) einfach]]&gt;10000),Tabelle26[[#This Row],[Entfernung (km) gesamt]]), 0)*Tabelle26[[#This Row],[Anzahl Studierende ]]</f>
        <v>0</v>
      </c>
      <c r="T30">
        <f>IF(Tabelle26[[#This Row],[Verkehrsmittel]]="Motorrad",Tabelle26[[#This Row],[Entfernung (km) gesamt]],0)*Tabelle26[[#This Row],[Anzahl Studierende ]]</f>
        <v>0</v>
      </c>
      <c r="U30">
        <f>IF(Tabelle26[[#This Row],[Verkehrsmittel]]="Straßen-, S-, U-Bahn",Tabelle26[[#This Row],[Entfernung (km) gesamt]],0)*Tabelle26[[#This Row],[Anzahl Studierende ]]</f>
        <v>0</v>
      </c>
      <c r="V30">
        <f>IF(Tabelle26[[#This Row],[Verkehrsmittel]]="Fahrrad",Tabelle26[[#This Row],[Entfernung (km) gesamt]],0)*Tabelle26[[#This Row],[Anzahl Studierende ]]</f>
        <v>0</v>
      </c>
    </row>
    <row r="31" spans="2:22">
      <c r="B31" s="109"/>
      <c r="C31" s="110"/>
      <c r="D31" s="149"/>
      <c r="E31" s="32"/>
      <c r="F31" s="32"/>
      <c r="G31" s="32"/>
      <c r="H31" s="32">
        <f>Tabelle26[[#This Row],[Entfernung (km) einfach]]*2</f>
        <v>0</v>
      </c>
      <c r="I31" s="128"/>
      <c r="J31" s="148"/>
      <c r="K31" s="45">
        <f>IF(Tabelle26[[#This Row],[Verkehrsmittel]]="Bus",Tabelle26[[#This Row],[Entfernung (km) gesamt]],0)*Tabelle26[[#This Row],[Anzahl Studierende ]]</f>
        <v>0</v>
      </c>
      <c r="L31">
        <f>IF(Tabelle26[[#This Row],[Verkehrsmittel]]="Bahn",Tabelle26[[#This Row],[Anzahl Studierende ]]*Tabelle26[[#This Row],[Entfernung (km) gesamt]],0)</f>
        <v>0</v>
      </c>
      <c r="M31">
        <f>IF(Tabelle26[[#This Row],[Verkehrsmittel]]="PKW",Tabelle26[[#This Row],[Anzahl Studierende ]]*Tabelle26[[#This Row],[Entfernung (km) gesamt]],0)</f>
        <v>0</v>
      </c>
      <c r="N31">
        <f>IF(Tabelle26[[#This Row],[Verkehrsmittel]]="Flug", IF(AND(Tabelle26[[#This Row],[Entfernung (km) einfach]]&lt;500),Tabelle26[[#This Row],[Entfernung (km) gesamt]]), 0)*Tabelle26[[#This Row],[Anzahl Studierende ]]</f>
        <v>0</v>
      </c>
      <c r="O31">
        <f>IF(Tabelle26[[#This Row],[Verkehrsmittel]]="Flug", IF(AND(Tabelle26[[#This Row],[Entfernung (km) einfach]]&gt;500,Tabelle26[[#This Row],[Entfernung (km) einfach]]&lt;1000),Tabelle26[[#This Row],[Entfernung (km) gesamt]], 0), 0)*Tabelle26[[#This Row],[Anzahl Studierende ]]</f>
        <v>0</v>
      </c>
      <c r="P31">
        <f>IF(Tabelle26[[#This Row],[Verkehrsmittel]]="Flug", IF(AND(Tabelle26[[#This Row],[Entfernung (km) einfach]]&gt;1000,Tabelle26[[#This Row],[Entfernung (km) einfach]]&lt;2000),Tabelle26[[#This Row],[Entfernung (km) gesamt]], 0), 0)*Tabelle26[[#This Row],[Anzahl Studierende ]]</f>
        <v>0</v>
      </c>
      <c r="Q31">
        <f>IF(Tabelle26[[#This Row],[Verkehrsmittel]]="Flug", IF(AND(Tabelle26[[#This Row],[Entfernung (km) einfach]]&gt;2000,Tabelle26[[#This Row],[Entfernung (km) einfach]]&lt;5000),Tabelle26[[#This Row],[Entfernung (km) gesamt]], 0), 0)*Tabelle26[[#This Row],[Anzahl Studierende ]]</f>
        <v>0</v>
      </c>
      <c r="R31">
        <f>IF(Tabelle26[[#This Row],[Verkehrsmittel]]="Flug", IF(AND(Tabelle26[[#This Row],[Entfernung (km) einfach]]&gt;5000,Tabelle26[[#This Row],[Entfernung (km) einfach]]&lt;10000),Tabelle26[[#This Row],[Entfernung (km) gesamt]], 0), 0)*Tabelle26[[#This Row],[Anzahl Studierende ]]</f>
        <v>0</v>
      </c>
      <c r="S31">
        <f>IF(Tabelle26[[#This Row],[Verkehrsmittel]]="Flug", IF(AND(Tabelle26[[#This Row],[Entfernung (km) einfach]]&gt;10000),Tabelle26[[#This Row],[Entfernung (km) gesamt]]), 0)*Tabelle26[[#This Row],[Anzahl Studierende ]]</f>
        <v>0</v>
      </c>
      <c r="T31">
        <f>IF(Tabelle26[[#This Row],[Verkehrsmittel]]="Motorrad",Tabelle26[[#This Row],[Entfernung (km) gesamt]],0)*Tabelle26[[#This Row],[Anzahl Studierende ]]</f>
        <v>0</v>
      </c>
      <c r="U31">
        <f>IF(Tabelle26[[#This Row],[Verkehrsmittel]]="Straßen-, S-, U-Bahn",Tabelle26[[#This Row],[Entfernung (km) gesamt]],0)*Tabelle26[[#This Row],[Anzahl Studierende ]]</f>
        <v>0</v>
      </c>
      <c r="V31">
        <f>IF(Tabelle26[[#This Row],[Verkehrsmittel]]="Fahrrad",Tabelle26[[#This Row],[Entfernung (km) gesamt]],0)*Tabelle26[[#This Row],[Anzahl Studierende ]]</f>
        <v>0</v>
      </c>
    </row>
    <row r="32" spans="2:22">
      <c r="B32" s="109"/>
      <c r="C32" s="110"/>
      <c r="D32" s="149"/>
      <c r="E32" s="32"/>
      <c r="F32" s="32"/>
      <c r="G32" s="32"/>
      <c r="H32" s="32">
        <f>Tabelle26[[#This Row],[Entfernung (km) einfach]]*2</f>
        <v>0</v>
      </c>
      <c r="I32" s="128"/>
      <c r="J32" s="148"/>
      <c r="K32" s="45">
        <f>IF(Tabelle26[[#This Row],[Verkehrsmittel]]="Bus",Tabelle26[[#This Row],[Entfernung (km) gesamt]],0)*Tabelle26[[#This Row],[Anzahl Studierende ]]</f>
        <v>0</v>
      </c>
      <c r="L32">
        <f>IF(Tabelle26[[#This Row],[Verkehrsmittel]]="Bahn",Tabelle26[[#This Row],[Anzahl Studierende ]]*Tabelle26[[#This Row],[Entfernung (km) gesamt]],0)</f>
        <v>0</v>
      </c>
      <c r="M32">
        <f>IF(Tabelle26[[#This Row],[Verkehrsmittel]]="PKW",Tabelle26[[#This Row],[Anzahl Studierende ]]*Tabelle26[[#This Row],[Entfernung (km) gesamt]],0)</f>
        <v>0</v>
      </c>
      <c r="N32">
        <f>IF(Tabelle26[[#This Row],[Verkehrsmittel]]="Flug", IF(AND(Tabelle26[[#This Row],[Entfernung (km) einfach]]&lt;500),Tabelle26[[#This Row],[Entfernung (km) gesamt]]), 0)*Tabelle26[[#This Row],[Anzahl Studierende ]]</f>
        <v>0</v>
      </c>
      <c r="O32">
        <f>IF(Tabelle26[[#This Row],[Verkehrsmittel]]="Flug", IF(AND(Tabelle26[[#This Row],[Entfernung (km) einfach]]&gt;500,Tabelle26[[#This Row],[Entfernung (km) einfach]]&lt;1000),Tabelle26[[#This Row],[Entfernung (km) gesamt]], 0), 0)*Tabelle26[[#This Row],[Anzahl Studierende ]]</f>
        <v>0</v>
      </c>
      <c r="P32">
        <f>IF(Tabelle26[[#This Row],[Verkehrsmittel]]="Flug", IF(AND(Tabelle26[[#This Row],[Entfernung (km) einfach]]&gt;1000,Tabelle26[[#This Row],[Entfernung (km) einfach]]&lt;2000),Tabelle26[[#This Row],[Entfernung (km) gesamt]], 0), 0)*Tabelle26[[#This Row],[Anzahl Studierende ]]</f>
        <v>0</v>
      </c>
      <c r="Q32">
        <f>IF(Tabelle26[[#This Row],[Verkehrsmittel]]="Flug", IF(AND(Tabelle26[[#This Row],[Entfernung (km) einfach]]&gt;2000,Tabelle26[[#This Row],[Entfernung (km) einfach]]&lt;5000),Tabelle26[[#This Row],[Entfernung (km) gesamt]], 0), 0)*Tabelle26[[#This Row],[Anzahl Studierende ]]</f>
        <v>0</v>
      </c>
      <c r="R32">
        <f>IF(Tabelle26[[#This Row],[Verkehrsmittel]]="Flug", IF(AND(Tabelle26[[#This Row],[Entfernung (km) einfach]]&gt;5000,Tabelle26[[#This Row],[Entfernung (km) einfach]]&lt;10000),Tabelle26[[#This Row],[Entfernung (km) gesamt]], 0), 0)*Tabelle26[[#This Row],[Anzahl Studierende ]]</f>
        <v>0</v>
      </c>
      <c r="S32">
        <f>IF(Tabelle26[[#This Row],[Verkehrsmittel]]="Flug", IF(AND(Tabelle26[[#This Row],[Entfernung (km) einfach]]&gt;10000),Tabelle26[[#This Row],[Entfernung (km) gesamt]]), 0)*Tabelle26[[#This Row],[Anzahl Studierende ]]</f>
        <v>0</v>
      </c>
      <c r="T32">
        <f>IF(Tabelle26[[#This Row],[Verkehrsmittel]]="Motorrad",Tabelle26[[#This Row],[Entfernung (km) gesamt]],0)*Tabelle26[[#This Row],[Anzahl Studierende ]]</f>
        <v>0</v>
      </c>
      <c r="U32">
        <f>IF(Tabelle26[[#This Row],[Verkehrsmittel]]="Straßen-, S-, U-Bahn",Tabelle26[[#This Row],[Entfernung (km) gesamt]],0)*Tabelle26[[#This Row],[Anzahl Studierende ]]</f>
        <v>0</v>
      </c>
      <c r="V32">
        <f>IF(Tabelle26[[#This Row],[Verkehrsmittel]]="Fahrrad",Tabelle26[[#This Row],[Entfernung (km) gesamt]],0)*Tabelle26[[#This Row],[Anzahl Studierende ]]</f>
        <v>0</v>
      </c>
    </row>
    <row r="33" spans="1:22">
      <c r="B33" s="109"/>
      <c r="C33" s="110"/>
      <c r="D33" s="149"/>
      <c r="E33" s="32"/>
      <c r="F33" s="32"/>
      <c r="G33" s="32"/>
      <c r="H33" s="32">
        <f>Tabelle26[[#This Row],[Entfernung (km) einfach]]*2</f>
        <v>0</v>
      </c>
      <c r="I33" s="128"/>
      <c r="J33" s="148"/>
      <c r="K33" s="45">
        <f>IF(Tabelle26[[#This Row],[Verkehrsmittel]]="Bus",Tabelle26[[#This Row],[Entfernung (km) gesamt]],0)*Tabelle26[[#This Row],[Anzahl Studierende ]]</f>
        <v>0</v>
      </c>
      <c r="L33">
        <f>IF(Tabelle26[[#This Row],[Verkehrsmittel]]="Bahn",Tabelle26[[#This Row],[Anzahl Studierende ]]*Tabelle26[[#This Row],[Entfernung (km) gesamt]],0)</f>
        <v>0</v>
      </c>
      <c r="M33">
        <f>IF(Tabelle26[[#This Row],[Verkehrsmittel]]="PKW",Tabelle26[[#This Row],[Anzahl Studierende ]]*Tabelle26[[#This Row],[Entfernung (km) gesamt]],0)</f>
        <v>0</v>
      </c>
      <c r="N33">
        <f>IF(Tabelle26[[#This Row],[Verkehrsmittel]]="Flug", IF(AND(Tabelle26[[#This Row],[Entfernung (km) einfach]]&lt;500),Tabelle26[[#This Row],[Entfernung (km) gesamt]]), 0)*Tabelle26[[#This Row],[Anzahl Studierende ]]</f>
        <v>0</v>
      </c>
      <c r="O33">
        <f>IF(Tabelle26[[#This Row],[Verkehrsmittel]]="Flug", IF(AND(Tabelle26[[#This Row],[Entfernung (km) einfach]]&gt;500,Tabelle26[[#This Row],[Entfernung (km) einfach]]&lt;1000),Tabelle26[[#This Row],[Entfernung (km) gesamt]], 0), 0)*Tabelle26[[#This Row],[Anzahl Studierende ]]</f>
        <v>0</v>
      </c>
      <c r="P33">
        <f>IF(Tabelle26[[#This Row],[Verkehrsmittel]]="Flug", IF(AND(Tabelle26[[#This Row],[Entfernung (km) einfach]]&gt;1000,Tabelle26[[#This Row],[Entfernung (km) einfach]]&lt;2000),Tabelle26[[#This Row],[Entfernung (km) gesamt]], 0), 0)*Tabelle26[[#This Row],[Anzahl Studierende ]]</f>
        <v>0</v>
      </c>
      <c r="Q33">
        <f>IF(Tabelle26[[#This Row],[Verkehrsmittel]]="Flug", IF(AND(Tabelle26[[#This Row],[Entfernung (km) einfach]]&gt;2000,Tabelle26[[#This Row],[Entfernung (km) einfach]]&lt;5000),Tabelle26[[#This Row],[Entfernung (km) gesamt]], 0), 0)*Tabelle26[[#This Row],[Anzahl Studierende ]]</f>
        <v>0</v>
      </c>
      <c r="R33">
        <f>IF(Tabelle26[[#This Row],[Verkehrsmittel]]="Flug", IF(AND(Tabelle26[[#This Row],[Entfernung (km) einfach]]&gt;5000,Tabelle26[[#This Row],[Entfernung (km) einfach]]&lt;10000),Tabelle26[[#This Row],[Entfernung (km) gesamt]], 0), 0)*Tabelle26[[#This Row],[Anzahl Studierende ]]</f>
        <v>0</v>
      </c>
      <c r="S33">
        <f>IF(Tabelle26[[#This Row],[Verkehrsmittel]]="Flug", IF(AND(Tabelle26[[#This Row],[Entfernung (km) einfach]]&gt;10000),Tabelle26[[#This Row],[Entfernung (km) gesamt]]), 0)*Tabelle26[[#This Row],[Anzahl Studierende ]]</f>
        <v>0</v>
      </c>
      <c r="T33">
        <f>IF(Tabelle26[[#This Row],[Verkehrsmittel]]="Motorrad",Tabelle26[[#This Row],[Entfernung (km) gesamt]],0)*Tabelle26[[#This Row],[Anzahl Studierende ]]</f>
        <v>0</v>
      </c>
      <c r="U33">
        <f>IF(Tabelle26[[#This Row],[Verkehrsmittel]]="Straßen-, S-, U-Bahn",Tabelle26[[#This Row],[Entfernung (km) gesamt]],0)*Tabelle26[[#This Row],[Anzahl Studierende ]]</f>
        <v>0</v>
      </c>
      <c r="V33">
        <f>IF(Tabelle26[[#This Row],[Verkehrsmittel]]="Fahrrad",Tabelle26[[#This Row],[Entfernung (km) gesamt]],0)*Tabelle26[[#This Row],[Anzahl Studierende ]]</f>
        <v>0</v>
      </c>
    </row>
    <row r="34" spans="1:22">
      <c r="B34" s="109"/>
      <c r="C34" s="110"/>
      <c r="D34" s="149"/>
      <c r="E34" s="32"/>
      <c r="F34" s="32"/>
      <c r="G34" s="32"/>
      <c r="H34" s="32">
        <f>Tabelle26[[#This Row],[Entfernung (km) einfach]]*2</f>
        <v>0</v>
      </c>
      <c r="I34" s="128"/>
      <c r="J34" s="148"/>
      <c r="K34" s="45">
        <f>IF(Tabelle26[[#This Row],[Verkehrsmittel]]="Bus",Tabelle26[[#This Row],[Entfernung (km) gesamt]],0)*Tabelle26[[#This Row],[Anzahl Studierende ]]</f>
        <v>0</v>
      </c>
      <c r="L34">
        <f>IF(Tabelle26[[#This Row],[Verkehrsmittel]]="Bahn",Tabelle26[[#This Row],[Anzahl Studierende ]]*Tabelle26[[#This Row],[Entfernung (km) gesamt]],0)</f>
        <v>0</v>
      </c>
      <c r="M34">
        <f>IF(Tabelle26[[#This Row],[Verkehrsmittel]]="PKW",Tabelle26[[#This Row],[Anzahl Studierende ]]*Tabelle26[[#This Row],[Entfernung (km) gesamt]],0)</f>
        <v>0</v>
      </c>
      <c r="N34">
        <f>IF(Tabelle26[[#This Row],[Verkehrsmittel]]="Flug", IF(AND(Tabelle26[[#This Row],[Entfernung (km) einfach]]&lt;500),Tabelle26[[#This Row],[Entfernung (km) gesamt]]), 0)*Tabelle26[[#This Row],[Anzahl Studierende ]]</f>
        <v>0</v>
      </c>
      <c r="O34">
        <f>IF(Tabelle26[[#This Row],[Verkehrsmittel]]="Flug", IF(AND(Tabelle26[[#This Row],[Entfernung (km) einfach]]&gt;500,Tabelle26[[#This Row],[Entfernung (km) einfach]]&lt;1000),Tabelle26[[#This Row],[Entfernung (km) gesamt]], 0), 0)*Tabelle26[[#This Row],[Anzahl Studierende ]]</f>
        <v>0</v>
      </c>
      <c r="P34">
        <f>IF(Tabelle26[[#This Row],[Verkehrsmittel]]="Flug", IF(AND(Tabelle26[[#This Row],[Entfernung (km) einfach]]&gt;1000,Tabelle26[[#This Row],[Entfernung (km) einfach]]&lt;2000),Tabelle26[[#This Row],[Entfernung (km) gesamt]], 0), 0)*Tabelle26[[#This Row],[Anzahl Studierende ]]</f>
        <v>0</v>
      </c>
      <c r="Q34">
        <f>IF(Tabelle26[[#This Row],[Verkehrsmittel]]="Flug", IF(AND(Tabelle26[[#This Row],[Entfernung (km) einfach]]&gt;2000,Tabelle26[[#This Row],[Entfernung (km) einfach]]&lt;5000),Tabelle26[[#This Row],[Entfernung (km) gesamt]], 0), 0)*Tabelle26[[#This Row],[Anzahl Studierende ]]</f>
        <v>0</v>
      </c>
      <c r="R34">
        <f>IF(Tabelle26[[#This Row],[Verkehrsmittel]]="Flug", IF(AND(Tabelle26[[#This Row],[Entfernung (km) einfach]]&gt;5000,Tabelle26[[#This Row],[Entfernung (km) einfach]]&lt;10000),Tabelle26[[#This Row],[Entfernung (km) gesamt]], 0), 0)*Tabelle26[[#This Row],[Anzahl Studierende ]]</f>
        <v>0</v>
      </c>
      <c r="S34">
        <f>IF(Tabelle26[[#This Row],[Verkehrsmittel]]="Flug", IF(AND(Tabelle26[[#This Row],[Entfernung (km) einfach]]&gt;10000),Tabelle26[[#This Row],[Entfernung (km) gesamt]]), 0)*Tabelle26[[#This Row],[Anzahl Studierende ]]</f>
        <v>0</v>
      </c>
      <c r="T34">
        <f>IF(Tabelle26[[#This Row],[Verkehrsmittel]]="Motorrad",Tabelle26[[#This Row],[Entfernung (km) gesamt]],0)*Tabelle26[[#This Row],[Anzahl Studierende ]]</f>
        <v>0</v>
      </c>
      <c r="U34">
        <f>IF(Tabelle26[[#This Row],[Verkehrsmittel]]="Straßen-, S-, U-Bahn",Tabelle26[[#This Row],[Entfernung (km) gesamt]],0)*Tabelle26[[#This Row],[Anzahl Studierende ]]</f>
        <v>0</v>
      </c>
      <c r="V34">
        <f>IF(Tabelle26[[#This Row],[Verkehrsmittel]]="Fahrrad",Tabelle26[[#This Row],[Entfernung (km) gesamt]],0)*Tabelle26[[#This Row],[Anzahl Studierende ]]</f>
        <v>0</v>
      </c>
    </row>
    <row r="35" spans="1:22">
      <c r="B35" s="109"/>
      <c r="C35" s="110"/>
      <c r="D35" s="149"/>
      <c r="E35" s="32"/>
      <c r="F35" s="32"/>
      <c r="G35" s="32"/>
      <c r="H35" s="116">
        <f>Tabelle26[[#This Row],[Entfernung (km) einfach]]*2</f>
        <v>0</v>
      </c>
      <c r="I35" s="128"/>
      <c r="J35" s="148"/>
      <c r="K35" s="45">
        <f>IF(Tabelle26[[#This Row],[Verkehrsmittel]]="Bus",Tabelle26[[#This Row],[Entfernung (km) gesamt]],0)*Tabelle26[[#This Row],[Anzahl Studierende ]]</f>
        <v>0</v>
      </c>
      <c r="L35" s="36">
        <f>IF(Tabelle26[[#This Row],[Verkehrsmittel]]="Bahn",Tabelle26[[#This Row],[Anzahl Studierende ]]*Tabelle26[[#This Row],[Entfernung (km) gesamt]],0)</f>
        <v>0</v>
      </c>
      <c r="M35" s="36">
        <f>IF(Tabelle26[[#This Row],[Verkehrsmittel]]="PKW",Tabelle26[[#This Row],[Anzahl Studierende ]]*Tabelle26[[#This Row],[Entfernung (km) gesamt]],0)</f>
        <v>0</v>
      </c>
      <c r="N35" s="36">
        <f>IF(Tabelle26[[#This Row],[Verkehrsmittel]]="Flug", IF(AND(Tabelle26[[#This Row],[Entfernung (km) einfach]]&lt;500),Tabelle26[[#This Row],[Entfernung (km) gesamt]]), 0)*Tabelle26[[#This Row],[Anzahl Studierende ]]</f>
        <v>0</v>
      </c>
      <c r="O35" s="36">
        <f>IF(Tabelle26[[#This Row],[Verkehrsmittel]]="Flug", IF(AND(Tabelle26[[#This Row],[Entfernung (km) einfach]]&gt;500,Tabelle26[[#This Row],[Entfernung (km) einfach]]&lt;1000),Tabelle26[[#This Row],[Entfernung (km) gesamt]], 0), 0)*Tabelle26[[#This Row],[Anzahl Studierende ]]</f>
        <v>0</v>
      </c>
      <c r="P35" s="36">
        <f>IF(Tabelle26[[#This Row],[Verkehrsmittel]]="Flug", IF(AND(Tabelle26[[#This Row],[Entfernung (km) einfach]]&gt;1000,Tabelle26[[#This Row],[Entfernung (km) einfach]]&lt;2000),Tabelle26[[#This Row],[Entfernung (km) gesamt]], 0), 0)*Tabelle26[[#This Row],[Anzahl Studierende ]]</f>
        <v>0</v>
      </c>
      <c r="Q35" s="36">
        <f>IF(Tabelle26[[#This Row],[Verkehrsmittel]]="Flug", IF(AND(Tabelle26[[#This Row],[Entfernung (km) einfach]]&gt;2000,Tabelle26[[#This Row],[Entfernung (km) einfach]]&lt;5000),Tabelle26[[#This Row],[Entfernung (km) gesamt]], 0), 0)*Tabelle26[[#This Row],[Anzahl Studierende ]]</f>
        <v>0</v>
      </c>
      <c r="R35" s="36">
        <f>IF(Tabelle26[[#This Row],[Verkehrsmittel]]="Flug", IF(AND(Tabelle26[[#This Row],[Entfernung (km) einfach]]&gt;5000,Tabelle26[[#This Row],[Entfernung (km) einfach]]&lt;10000),Tabelle26[[#This Row],[Entfernung (km) gesamt]], 0), 0)*Tabelle26[[#This Row],[Anzahl Studierende ]]</f>
        <v>0</v>
      </c>
      <c r="S35" s="36">
        <f>IF(Tabelle26[[#This Row],[Verkehrsmittel]]="Flug", IF(AND(Tabelle26[[#This Row],[Entfernung (km) einfach]]&gt;10000),Tabelle26[[#This Row],[Entfernung (km) gesamt]]), 0)*Tabelle26[[#This Row],[Anzahl Studierende ]]</f>
        <v>0</v>
      </c>
      <c r="T35" s="36">
        <f>IF(Tabelle26[[#This Row],[Verkehrsmittel]]="Motorrad",Tabelle26[[#This Row],[Entfernung (km) gesamt]],0)*Tabelle26[[#This Row],[Anzahl Studierende ]]</f>
        <v>0</v>
      </c>
      <c r="U35" s="36">
        <f>IF(Tabelle26[[#This Row],[Verkehrsmittel]]="Straßen-, S-, U-Bahn",Tabelle26[[#This Row],[Entfernung (km) gesamt]],0)*Tabelle26[[#This Row],[Anzahl Studierende ]]</f>
        <v>0</v>
      </c>
      <c r="V35" s="36">
        <f>IF(Tabelle26[[#This Row],[Verkehrsmittel]]="Fahrrad",Tabelle26[[#This Row],[Entfernung (km) gesamt]],0)*Tabelle26[[#This Row],[Anzahl Studierende ]]</f>
        <v>0</v>
      </c>
    </row>
    <row r="36" spans="1:22">
      <c r="B36" s="109"/>
      <c r="C36" s="110"/>
      <c r="D36" s="149"/>
      <c r="E36" s="32"/>
      <c r="F36" s="32"/>
      <c r="G36" s="32"/>
      <c r="H36" s="116">
        <f>Tabelle26[[#This Row],[Entfernung (km) einfach]]*2</f>
        <v>0</v>
      </c>
      <c r="I36" s="128"/>
      <c r="J36" s="148"/>
      <c r="K36" s="45">
        <f>IF(Tabelle26[[#This Row],[Verkehrsmittel]]="Bus",Tabelle26[[#This Row],[Entfernung (km) gesamt]],0)*Tabelle26[[#This Row],[Anzahl Studierende ]]</f>
        <v>0</v>
      </c>
      <c r="L36" s="36">
        <f>IF(Tabelle26[[#This Row],[Verkehrsmittel]]="Bahn",Tabelle26[[#This Row],[Anzahl Studierende ]]*Tabelle26[[#This Row],[Entfernung (km) gesamt]],0)</f>
        <v>0</v>
      </c>
      <c r="M36" s="36">
        <f>IF(Tabelle26[[#This Row],[Verkehrsmittel]]="PKW",Tabelle26[[#This Row],[Anzahl Studierende ]]*Tabelle26[[#This Row],[Entfernung (km) gesamt]],0)</f>
        <v>0</v>
      </c>
      <c r="N36" s="36">
        <f>IF(Tabelle26[[#This Row],[Verkehrsmittel]]="Flug", IF(AND(Tabelle26[[#This Row],[Entfernung (km) einfach]]&lt;500),Tabelle26[[#This Row],[Entfernung (km) gesamt]]), 0)*Tabelle26[[#This Row],[Anzahl Studierende ]]</f>
        <v>0</v>
      </c>
      <c r="O36" s="36">
        <f>IF(Tabelle26[[#This Row],[Verkehrsmittel]]="Flug", IF(AND(Tabelle26[[#This Row],[Entfernung (km) einfach]]&gt;500,Tabelle26[[#This Row],[Entfernung (km) einfach]]&lt;1000),Tabelle26[[#This Row],[Entfernung (km) gesamt]], 0), 0)*Tabelle26[[#This Row],[Anzahl Studierende ]]</f>
        <v>0</v>
      </c>
      <c r="P36" s="36">
        <f>IF(Tabelle26[[#This Row],[Verkehrsmittel]]="Flug", IF(AND(Tabelle26[[#This Row],[Entfernung (km) einfach]]&gt;1000,Tabelle26[[#This Row],[Entfernung (km) einfach]]&lt;2000),Tabelle26[[#This Row],[Entfernung (km) gesamt]], 0), 0)*Tabelle26[[#This Row],[Anzahl Studierende ]]</f>
        <v>0</v>
      </c>
      <c r="Q36" s="36">
        <f>IF(Tabelle26[[#This Row],[Verkehrsmittel]]="Flug", IF(AND(Tabelle26[[#This Row],[Entfernung (km) einfach]]&gt;2000,Tabelle26[[#This Row],[Entfernung (km) einfach]]&lt;5000),Tabelle26[[#This Row],[Entfernung (km) gesamt]], 0), 0)*Tabelle26[[#This Row],[Anzahl Studierende ]]</f>
        <v>0</v>
      </c>
      <c r="R36" s="36">
        <f>IF(Tabelle26[[#This Row],[Verkehrsmittel]]="Flug", IF(AND(Tabelle26[[#This Row],[Entfernung (km) einfach]]&gt;5000,Tabelle26[[#This Row],[Entfernung (km) einfach]]&lt;10000),Tabelle26[[#This Row],[Entfernung (km) gesamt]], 0), 0)*Tabelle26[[#This Row],[Anzahl Studierende ]]</f>
        <v>0</v>
      </c>
      <c r="S36" s="36">
        <f>IF(Tabelle26[[#This Row],[Verkehrsmittel]]="Flug", IF(AND(Tabelle26[[#This Row],[Entfernung (km) einfach]]&gt;10000),Tabelle26[[#This Row],[Entfernung (km) gesamt]]), 0)*Tabelle26[[#This Row],[Anzahl Studierende ]]</f>
        <v>0</v>
      </c>
      <c r="T36" s="36">
        <f>IF(Tabelle26[[#This Row],[Verkehrsmittel]]="Motorrad",Tabelle26[[#This Row],[Entfernung (km) gesamt]],0)*Tabelle26[[#This Row],[Anzahl Studierende ]]</f>
        <v>0</v>
      </c>
      <c r="U36" s="36">
        <f>IF(Tabelle26[[#This Row],[Verkehrsmittel]]="Straßen-, S-, U-Bahn",Tabelle26[[#This Row],[Entfernung (km) gesamt]],0)*Tabelle26[[#This Row],[Anzahl Studierende ]]</f>
        <v>0</v>
      </c>
      <c r="V36" s="36">
        <f>IF(Tabelle26[[#This Row],[Verkehrsmittel]]="Fahrrad",Tabelle26[[#This Row],[Entfernung (km) gesamt]],0)*Tabelle26[[#This Row],[Anzahl Studierende ]]</f>
        <v>0</v>
      </c>
    </row>
    <row r="37" spans="1:22">
      <c r="B37" s="109"/>
      <c r="C37" s="110"/>
      <c r="D37" s="149"/>
      <c r="E37" s="32"/>
      <c r="F37" s="32"/>
      <c r="G37" s="32"/>
      <c r="H37" s="116">
        <f>Tabelle26[[#This Row],[Entfernung (km) einfach]]*2</f>
        <v>0</v>
      </c>
      <c r="I37" s="128"/>
      <c r="J37" s="148"/>
      <c r="K37" s="45">
        <f>IF(Tabelle26[[#This Row],[Verkehrsmittel]]="Bus",Tabelle26[[#This Row],[Entfernung (km) gesamt]],0)*Tabelle26[[#This Row],[Anzahl Studierende ]]</f>
        <v>0</v>
      </c>
      <c r="L37" s="36">
        <f>IF(Tabelle26[[#This Row],[Verkehrsmittel]]="Bahn",Tabelle26[[#This Row],[Anzahl Studierende ]]*Tabelle26[[#This Row],[Entfernung (km) gesamt]],0)</f>
        <v>0</v>
      </c>
      <c r="M37" s="36">
        <f>IF(Tabelle26[[#This Row],[Verkehrsmittel]]="PKW",Tabelle26[[#This Row],[Anzahl Studierende ]]*Tabelle26[[#This Row],[Entfernung (km) gesamt]],0)</f>
        <v>0</v>
      </c>
      <c r="N37" s="36">
        <f>IF(Tabelle26[[#This Row],[Verkehrsmittel]]="Flug", IF(AND(Tabelle26[[#This Row],[Entfernung (km) einfach]]&lt;500),Tabelle26[[#This Row],[Entfernung (km) gesamt]]), 0)*Tabelle26[[#This Row],[Anzahl Studierende ]]</f>
        <v>0</v>
      </c>
      <c r="O37" s="36">
        <f>IF(Tabelle26[[#This Row],[Verkehrsmittel]]="Flug", IF(AND(Tabelle26[[#This Row],[Entfernung (km) einfach]]&gt;500,Tabelle26[[#This Row],[Entfernung (km) einfach]]&lt;1000),Tabelle26[[#This Row],[Entfernung (km) gesamt]], 0), 0)*Tabelle26[[#This Row],[Anzahl Studierende ]]</f>
        <v>0</v>
      </c>
      <c r="P37" s="36">
        <f>IF(Tabelle26[[#This Row],[Verkehrsmittel]]="Flug", IF(AND(Tabelle26[[#This Row],[Entfernung (km) einfach]]&gt;1000,Tabelle26[[#This Row],[Entfernung (km) einfach]]&lt;2000),Tabelle26[[#This Row],[Entfernung (km) gesamt]], 0), 0)*Tabelle26[[#This Row],[Anzahl Studierende ]]</f>
        <v>0</v>
      </c>
      <c r="Q37" s="36">
        <f>IF(Tabelle26[[#This Row],[Verkehrsmittel]]="Flug", IF(AND(Tabelle26[[#This Row],[Entfernung (km) einfach]]&gt;2000,Tabelle26[[#This Row],[Entfernung (km) einfach]]&lt;5000),Tabelle26[[#This Row],[Entfernung (km) gesamt]], 0), 0)*Tabelle26[[#This Row],[Anzahl Studierende ]]</f>
        <v>0</v>
      </c>
      <c r="R37" s="36">
        <f>IF(Tabelle26[[#This Row],[Verkehrsmittel]]="Flug", IF(AND(Tabelle26[[#This Row],[Entfernung (km) einfach]]&gt;5000,Tabelle26[[#This Row],[Entfernung (km) einfach]]&lt;10000),Tabelle26[[#This Row],[Entfernung (km) gesamt]], 0), 0)*Tabelle26[[#This Row],[Anzahl Studierende ]]</f>
        <v>0</v>
      </c>
      <c r="S37" s="36">
        <f>IF(Tabelle26[[#This Row],[Verkehrsmittel]]="Flug", IF(AND(Tabelle26[[#This Row],[Entfernung (km) einfach]]&gt;10000),Tabelle26[[#This Row],[Entfernung (km) gesamt]]), 0)*Tabelle26[[#This Row],[Anzahl Studierende ]]</f>
        <v>0</v>
      </c>
      <c r="T37" s="36">
        <f>IF(Tabelle26[[#This Row],[Verkehrsmittel]]="Motorrad",Tabelle26[[#This Row],[Entfernung (km) gesamt]],0)*Tabelle26[[#This Row],[Anzahl Studierende ]]</f>
        <v>0</v>
      </c>
      <c r="U37" s="36">
        <f>IF(Tabelle26[[#This Row],[Verkehrsmittel]]="Straßen-, S-, U-Bahn",Tabelle26[[#This Row],[Entfernung (km) gesamt]],0)*Tabelle26[[#This Row],[Anzahl Studierende ]]</f>
        <v>0</v>
      </c>
      <c r="V37" s="36">
        <f>IF(Tabelle26[[#This Row],[Verkehrsmittel]]="Fahrrad",Tabelle26[[#This Row],[Entfernung (km) gesamt]],0)*Tabelle26[[#This Row],[Anzahl Studierende ]]</f>
        <v>0</v>
      </c>
    </row>
    <row r="38" spans="1:22">
      <c r="B38" s="109"/>
      <c r="C38" s="110"/>
      <c r="D38" s="149"/>
      <c r="E38" s="32"/>
      <c r="F38" s="32"/>
      <c r="G38" s="32"/>
      <c r="H38" s="116">
        <f>Tabelle26[[#This Row],[Entfernung (km) einfach]]*2</f>
        <v>0</v>
      </c>
      <c r="I38" s="128"/>
      <c r="J38" s="148"/>
      <c r="K38" s="45">
        <f>IF(Tabelle26[[#This Row],[Verkehrsmittel]]="Bus",Tabelle26[[#This Row],[Entfernung (km) gesamt]],0)*Tabelle26[[#This Row],[Anzahl Studierende ]]</f>
        <v>0</v>
      </c>
      <c r="L38" s="36">
        <f>IF(Tabelle26[[#This Row],[Verkehrsmittel]]="Bahn",Tabelle26[[#This Row],[Anzahl Studierende ]]*Tabelle26[[#This Row],[Entfernung (km) gesamt]],0)</f>
        <v>0</v>
      </c>
      <c r="M38" s="36">
        <f>IF(Tabelle26[[#This Row],[Verkehrsmittel]]="PKW",Tabelle26[[#This Row],[Anzahl Studierende ]]*Tabelle26[[#This Row],[Entfernung (km) gesamt]],0)</f>
        <v>0</v>
      </c>
      <c r="N38" s="36">
        <f>IF(Tabelle26[[#This Row],[Verkehrsmittel]]="Flug", IF(AND(Tabelle26[[#This Row],[Entfernung (km) einfach]]&lt;500),Tabelle26[[#This Row],[Entfernung (km) gesamt]]), 0)*Tabelle26[[#This Row],[Anzahl Studierende ]]</f>
        <v>0</v>
      </c>
      <c r="O38" s="36">
        <f>IF(Tabelle26[[#This Row],[Verkehrsmittel]]="Flug", IF(AND(Tabelle26[[#This Row],[Entfernung (km) einfach]]&gt;500,Tabelle26[[#This Row],[Entfernung (km) einfach]]&lt;1000),Tabelle26[[#This Row],[Entfernung (km) gesamt]], 0), 0)*Tabelle26[[#This Row],[Anzahl Studierende ]]</f>
        <v>0</v>
      </c>
      <c r="P38" s="36">
        <f>IF(Tabelle26[[#This Row],[Verkehrsmittel]]="Flug", IF(AND(Tabelle26[[#This Row],[Entfernung (km) einfach]]&gt;1000,Tabelle26[[#This Row],[Entfernung (km) einfach]]&lt;2000),Tabelle26[[#This Row],[Entfernung (km) gesamt]], 0), 0)*Tabelle26[[#This Row],[Anzahl Studierende ]]</f>
        <v>0</v>
      </c>
      <c r="Q38" s="36">
        <f>IF(Tabelle26[[#This Row],[Verkehrsmittel]]="Flug", IF(AND(Tabelle26[[#This Row],[Entfernung (km) einfach]]&gt;2000,Tabelle26[[#This Row],[Entfernung (km) einfach]]&lt;5000),Tabelle26[[#This Row],[Entfernung (km) gesamt]], 0), 0)*Tabelle26[[#This Row],[Anzahl Studierende ]]</f>
        <v>0</v>
      </c>
      <c r="R38" s="36">
        <f>IF(Tabelle26[[#This Row],[Verkehrsmittel]]="Flug", IF(AND(Tabelle26[[#This Row],[Entfernung (km) einfach]]&gt;5000,Tabelle26[[#This Row],[Entfernung (km) einfach]]&lt;10000),Tabelle26[[#This Row],[Entfernung (km) gesamt]], 0), 0)*Tabelle26[[#This Row],[Anzahl Studierende ]]</f>
        <v>0</v>
      </c>
      <c r="S38" s="36">
        <f>IF(Tabelle26[[#This Row],[Verkehrsmittel]]="Flug", IF(AND(Tabelle26[[#This Row],[Entfernung (km) einfach]]&gt;10000),Tabelle26[[#This Row],[Entfernung (km) gesamt]]), 0)*Tabelle26[[#This Row],[Anzahl Studierende ]]</f>
        <v>0</v>
      </c>
      <c r="T38" s="36">
        <f>IF(Tabelle26[[#This Row],[Verkehrsmittel]]="Motorrad",Tabelle26[[#This Row],[Entfernung (km) gesamt]],0)*Tabelle26[[#This Row],[Anzahl Studierende ]]</f>
        <v>0</v>
      </c>
      <c r="U38" s="36">
        <f>IF(Tabelle26[[#This Row],[Verkehrsmittel]]="Straßen-, S-, U-Bahn",Tabelle26[[#This Row],[Entfernung (km) gesamt]],0)*Tabelle26[[#This Row],[Anzahl Studierende ]]</f>
        <v>0</v>
      </c>
      <c r="V38" s="36">
        <f>IF(Tabelle26[[#This Row],[Verkehrsmittel]]="Fahrrad",Tabelle26[[#This Row],[Entfernung (km) gesamt]],0)*Tabelle26[[#This Row],[Anzahl Studierende ]]</f>
        <v>0</v>
      </c>
    </row>
    <row r="39" spans="1:22" ht="14.4" thickBot="1">
      <c r="A39" s="2"/>
      <c r="B39" s="118"/>
      <c r="C39" s="119"/>
      <c r="D39" s="156"/>
      <c r="E39" s="121"/>
      <c r="F39" s="121"/>
      <c r="G39" s="121"/>
      <c r="H39" s="121">
        <f>Tabelle26[[#This Row],[Entfernung (km) einfach]]*2</f>
        <v>0</v>
      </c>
      <c r="I39" s="133"/>
      <c r="J39" s="136"/>
      <c r="K39" s="46">
        <f>IF(Tabelle26[[#This Row],[Verkehrsmittel]]="Bus",Tabelle26[[#This Row],[Entfernung (km) gesamt]],0)*Tabelle26[[#This Row],[Anzahl Studierende ]]</f>
        <v>0</v>
      </c>
      <c r="L39">
        <f>IF(Tabelle26[[#This Row],[Verkehrsmittel]]="Bahn",Tabelle26[[#This Row],[Anzahl Studierende ]]*Tabelle26[[#This Row],[Entfernung (km) gesamt]],0)</f>
        <v>0</v>
      </c>
      <c r="M39">
        <f>IF(Tabelle26[[#This Row],[Verkehrsmittel]]="PKW",Tabelle26[[#This Row],[Anzahl Studierende ]]*Tabelle26[[#This Row],[Entfernung (km) gesamt]],0)</f>
        <v>0</v>
      </c>
      <c r="N39">
        <f>IF(Tabelle26[[#This Row],[Verkehrsmittel]]="Flug", IF(AND(Tabelle26[[#This Row],[Entfernung (km) einfach]]&lt;500),Tabelle26[[#This Row],[Entfernung (km) gesamt]]), 0)*Tabelle26[[#This Row],[Anzahl Studierende ]]</f>
        <v>0</v>
      </c>
      <c r="O39">
        <f>IF(Tabelle26[[#This Row],[Verkehrsmittel]]="Flug", IF(AND(Tabelle26[[#This Row],[Entfernung (km) einfach]]&gt;500,Tabelle26[[#This Row],[Entfernung (km) einfach]]&lt;1000),Tabelle26[[#This Row],[Entfernung (km) gesamt]], 0), 0)*Tabelle26[[#This Row],[Anzahl Studierende ]]</f>
        <v>0</v>
      </c>
      <c r="P39">
        <f>IF(Tabelle26[[#This Row],[Verkehrsmittel]]="Flug", IF(AND(Tabelle26[[#This Row],[Entfernung (km) einfach]]&gt;1000,Tabelle26[[#This Row],[Entfernung (km) einfach]]&lt;2000),Tabelle26[[#This Row],[Entfernung (km) gesamt]], 0), 0)*Tabelle26[[#This Row],[Anzahl Studierende ]]</f>
        <v>0</v>
      </c>
      <c r="Q39">
        <f>IF(Tabelle26[[#This Row],[Verkehrsmittel]]="Flug", IF(AND(Tabelle26[[#This Row],[Entfernung (km) einfach]]&gt;2000,Tabelle26[[#This Row],[Entfernung (km) einfach]]&lt;5000),Tabelle26[[#This Row],[Entfernung (km) gesamt]], 0), 0)*Tabelle26[[#This Row],[Anzahl Studierende ]]</f>
        <v>0</v>
      </c>
      <c r="R39">
        <f>IF(Tabelle26[[#This Row],[Verkehrsmittel]]="Flug", IF(AND(Tabelle26[[#This Row],[Entfernung (km) einfach]]&gt;5000,Tabelle26[[#This Row],[Entfernung (km) einfach]]&lt;10000),Tabelle26[[#This Row],[Entfernung (km) gesamt]], 0), 0)*Tabelle26[[#This Row],[Anzahl Studierende ]]</f>
        <v>0</v>
      </c>
      <c r="S39">
        <f>IF(Tabelle26[[#This Row],[Verkehrsmittel]]="Flug", IF(AND(Tabelle26[[#This Row],[Entfernung (km) einfach]]&gt;10000),Tabelle26[[#This Row],[Entfernung (km) gesamt]]), 0)*Tabelle26[[#This Row],[Anzahl Studierende ]]</f>
        <v>0</v>
      </c>
      <c r="T39">
        <f>IF(Tabelle26[[#This Row],[Verkehrsmittel]]="Motorrad",Tabelle26[[#This Row],[Entfernung (km) gesamt]],0)*Tabelle26[[#This Row],[Anzahl Studierende ]]</f>
        <v>0</v>
      </c>
      <c r="U39">
        <f>IF(Tabelle26[[#This Row],[Verkehrsmittel]]="Straßen-, S-, U-Bahn",Tabelle26[[#This Row],[Entfernung (km) gesamt]],0)*Tabelle26[[#This Row],[Anzahl Studierende ]]</f>
        <v>0</v>
      </c>
      <c r="V39">
        <f>IF(Tabelle26[[#This Row],[Verkehrsmittel]]="Fahrrad",Tabelle26[[#This Row],[Entfernung (km) gesamt]],0)*Tabelle26[[#This Row],[Anzahl Studierende ]]</f>
        <v>0</v>
      </c>
    </row>
    <row r="40" spans="1:22" ht="14.4" thickBot="1">
      <c r="A40" s="2"/>
      <c r="B40" s="145"/>
      <c r="C40" s="146"/>
      <c r="D40" s="157"/>
      <c r="E40" s="146"/>
      <c r="F40" s="146"/>
      <c r="G40" s="146"/>
      <c r="H40" s="146"/>
      <c r="I40" s="146"/>
      <c r="J40" s="147"/>
      <c r="K40" s="17">
        <f>SUM(Tabelle26[Km Bus])</f>
        <v>0</v>
      </c>
      <c r="L40" s="5">
        <f>SUM(Tabelle26[Km Bahn])</f>
        <v>0</v>
      </c>
      <c r="M40" s="5">
        <f>SUM(Tabelle26[Km PKW])</f>
        <v>0</v>
      </c>
      <c r="N40" s="5">
        <f>SUM(Tabelle26[Flug bis 500])</f>
        <v>0</v>
      </c>
      <c r="O40" s="5">
        <f>SUM(Tabelle26[Flug 500 - 1000 km])</f>
        <v>0</v>
      </c>
      <c r="P40" s="5">
        <f>SUM(Tabelle26[Flug 1000 - 2000])</f>
        <v>0</v>
      </c>
      <c r="Q40" s="5">
        <f>SUM(Tabelle26[Flug 2000 - 5000])</f>
        <v>0</v>
      </c>
      <c r="R40" s="5">
        <f>SUM(Tabelle26[Flug 5000 - 10000])</f>
        <v>0</v>
      </c>
      <c r="S40" s="5">
        <f>SUM(Tabelle26[Flug über 10000])</f>
        <v>0</v>
      </c>
      <c r="T40" s="5">
        <f>SUM(Tabelle26[Motorrad])</f>
        <v>0</v>
      </c>
      <c r="U40" s="5">
        <f>SUM(Tabelle26[Straßen-, S-, U-Bahn])</f>
        <v>0</v>
      </c>
      <c r="V40" s="5">
        <f>SUM(Tabelle26[Fahrrad])</f>
        <v>0</v>
      </c>
    </row>
  </sheetData>
  <sheetProtection algorithmName="SHA-512" hashValue="sPIPNcy0283bqq4y8oZ6n5/3Y2NT+jTDRPRiH4MN5LzJsw/phCp5czzsemZdWM0mvWX0bdMMQUMM4GXjJQqkug==" saltValue="pBg4fdlr69FC05UTDfa67g==" spinCount="100000" sheet="1" objects="1" formatCells="0" formatColumns="0" formatRows="0" insertColumns="0" insertRows="0" insertHyperlinks="0" deleteColumns="0" deleteRows="0" sort="0" autoFilter="0" pivotTables="0"/>
  <mergeCells count="2">
    <mergeCell ref="B5:C5"/>
    <mergeCell ref="F2:G5"/>
  </mergeCell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F71D5C1-811F-4A71-8248-158FB2D47AA7}">
          <x14:formula1>
            <xm:f>Hilfstabelle!$A$1:$A$8</xm:f>
          </x14:formula1>
          <xm:sqref>I8:I39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1"/>
  <sheetViews>
    <sheetView showGridLines="0" workbookViewId="0">
      <selection activeCell="J1" sqref="J1"/>
    </sheetView>
  </sheetViews>
  <sheetFormatPr baseColWidth="10" defaultRowHeight="13.8"/>
  <cols>
    <col min="1" max="1" width="21.796875" customWidth="1"/>
    <col min="2" max="3" width="11.19921875" style="20"/>
    <col min="4" max="4" width="20.8984375" style="20" bestFit="1" customWidth="1"/>
    <col min="5" max="5" width="33.09765625" style="20" bestFit="1" customWidth="1"/>
    <col min="6" max="6" width="21.19921875" style="20" bestFit="1" customWidth="1"/>
    <col min="7" max="7" width="24.3984375" style="20" bestFit="1" customWidth="1"/>
    <col min="8" max="8" width="24.19921875" style="20" bestFit="1" customWidth="1"/>
    <col min="9" max="9" width="15.8984375" style="20" bestFit="1" customWidth="1"/>
    <col min="10" max="10" width="14.19921875" style="20" bestFit="1" customWidth="1"/>
    <col min="11" max="18" width="11.19921875" hidden="1" customWidth="1"/>
    <col min="19" max="19" width="16.8984375" hidden="1" customWidth="1"/>
    <col min="20" max="20" width="11.19921875" hidden="1" customWidth="1"/>
    <col min="21" max="22" width="0" hidden="1" customWidth="1"/>
  </cols>
  <sheetData>
    <row r="1" spans="1:22" ht="14.4" thickBot="1"/>
    <row r="2" spans="1:22" ht="14.4" thickBot="1">
      <c r="B2" s="98"/>
      <c r="F2" s="94" t="s">
        <v>51</v>
      </c>
      <c r="G2" s="95"/>
    </row>
    <row r="3" spans="1:22" ht="14.4" thickBot="1">
      <c r="A3" s="1" t="s">
        <v>19</v>
      </c>
      <c r="B3" s="54" t="s">
        <v>49</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8" t="s">
        <v>33</v>
      </c>
      <c r="U7" s="8" t="s">
        <v>34</v>
      </c>
      <c r="V7" s="8" t="s">
        <v>10</v>
      </c>
    </row>
    <row r="8" spans="1:22" s="8" customFormat="1" ht="15.6">
      <c r="A8"/>
      <c r="B8" s="104"/>
      <c r="C8" s="105"/>
      <c r="D8" s="106"/>
      <c r="E8" s="107"/>
      <c r="F8" s="107"/>
      <c r="G8" s="106"/>
      <c r="H8" s="107">
        <f>Tabelle27[[#This Row],[Entfernung (km) einfach]]*2</f>
        <v>0</v>
      </c>
      <c r="I8" s="107"/>
      <c r="J8" s="158"/>
      <c r="K8" s="12">
        <f>IF(Tabelle27[[#This Row],[Verkehrsmittel]]="Bus",Tabelle27[[#This Row],[Entfernung (km) gesamt]],0)*Tabelle27[[#This Row],[Anzahl Studierende ]]</f>
        <v>0</v>
      </c>
      <c r="L8" s="12">
        <f>IF(Tabelle27[[#This Row],[Verkehrsmittel]]="Bahn",Tabelle27[[#This Row],[Anzahl Studierende ]]*Tabelle27[[#This Row],[Entfernung (km) gesamt]],0)</f>
        <v>0</v>
      </c>
      <c r="M8" s="12">
        <f>IF(Tabelle27[[#This Row],[Verkehrsmittel]]="PKW",Tabelle27[[#This Row],[Anzahl Studierende ]]*Tabelle27[[#This Row],[Entfernung (km) gesamt]],0)</f>
        <v>0</v>
      </c>
      <c r="N8" s="12">
        <f>IF(Tabelle27[[#This Row],[Verkehrsmittel]]="Flug", IF(AND(Tabelle27[[#This Row],[Entfernung (km) einfach]]&lt;500),Tabelle27[[#This Row],[Entfernung (km) gesamt]]), 0)*Tabelle27[[#This Row],[Anzahl Studierende ]]</f>
        <v>0</v>
      </c>
      <c r="O8" s="12">
        <f>IF(Tabelle27[[#This Row],[Verkehrsmittel]]="Flug", IF(AND(Tabelle27[[#This Row],[Entfernung (km) einfach]]&gt;500,Tabelle27[[#This Row],[Entfernung (km) einfach]]&lt;1000),Tabelle27[[#This Row],[Entfernung (km) gesamt]], 0), 0)*Tabelle27[[#This Row],[Anzahl Studierende ]]</f>
        <v>0</v>
      </c>
      <c r="P8" s="12">
        <f>IF(Tabelle27[[#This Row],[Verkehrsmittel]]="Flug", IF(AND(Tabelle27[[#This Row],[Entfernung (km) einfach]]&gt;1000,Tabelle27[[#This Row],[Entfernung (km) einfach]]&lt;2000),Tabelle27[[#This Row],[Entfernung (km) gesamt]], 0), 0)*Tabelle27[[#This Row],[Anzahl Studierende ]]</f>
        <v>0</v>
      </c>
      <c r="Q8" s="12">
        <f>IF(Tabelle27[[#This Row],[Verkehrsmittel]]="Flug", IF(AND(Tabelle27[[#This Row],[Entfernung (km) einfach]]&gt;2000,Tabelle27[[#This Row],[Entfernung (km) einfach]]&lt;5000),Tabelle27[[#This Row],[Entfernung (km) gesamt]], 0), 0)*Tabelle27[[#This Row],[Anzahl Studierende ]]</f>
        <v>0</v>
      </c>
      <c r="R8" s="12">
        <f>IF(Tabelle27[[#This Row],[Verkehrsmittel]]="Flug", IF(AND(Tabelle27[[#This Row],[Entfernung (km) einfach]]&gt;5000,Tabelle27[[#This Row],[Entfernung (km) einfach]]&lt;10000),Tabelle27[[#This Row],[Entfernung (km) gesamt]], 0), 0)*Tabelle27[[#This Row],[Anzahl Studierende ]]</f>
        <v>0</v>
      </c>
      <c r="S8" s="12">
        <f>IF(Tabelle27[[#This Row],[Verkehrsmittel]]="Flug", IF(AND(Tabelle27[[#This Row],[Entfernung (km) einfach]]&gt;10000),Tabelle27[[#This Row],[Entfernung (km) gesamt]]), 0)*Tabelle27[[#This Row],[Anzahl Studierende ]]</f>
        <v>0</v>
      </c>
      <c r="T8" s="9">
        <f>IF(Tabelle27[[#This Row],[Verkehrsmittel]]="Motorrad",Tabelle27[[#This Row],[Entfernung (km) gesamt]],0)*Tabelle27[[#This Row],[Anzahl Studierende ]]</f>
        <v>0</v>
      </c>
      <c r="U8" s="9">
        <f>IF(Tabelle27[[#This Row],[Verkehrsmittel]]="Straßen-, S-, U-Bahn",Tabelle27[[#This Row],[Entfernung (km) gesamt]],0)*Tabelle27[[#This Row],[Anzahl Studierende ]]</f>
        <v>0</v>
      </c>
      <c r="V8" s="9">
        <f>IF(Tabelle27[[#This Row],[Verkehrsmittel]]="Fahrrad",Tabelle27[[#This Row],[Entfernung (km) gesamt]],0)*Tabelle27[[#This Row],[Anzahl Studierende ]]</f>
        <v>0</v>
      </c>
    </row>
    <row r="9" spans="1:22" s="8" customFormat="1">
      <c r="A9"/>
      <c r="B9" s="159"/>
      <c r="C9" s="111"/>
      <c r="D9" s="160"/>
      <c r="E9" s="111"/>
      <c r="F9" s="111"/>
      <c r="G9" s="111"/>
      <c r="H9" s="111">
        <f>Tabelle27[[#This Row],[Entfernung (km) einfach]]*2</f>
        <v>0</v>
      </c>
      <c r="I9" s="111"/>
      <c r="J9" s="140"/>
      <c r="K9" s="8">
        <f>IF(Tabelle27[[#This Row],[Verkehrsmittel]]="Bus",Tabelle27[[#This Row],[Entfernung (km) gesamt]],0)*Tabelle27[[#This Row],[Anzahl Studierende ]]</f>
        <v>0</v>
      </c>
      <c r="L9" s="8">
        <f>IF(Tabelle27[[#This Row],[Verkehrsmittel]]="Bahn",Tabelle27[[#This Row],[Anzahl Studierende ]]*Tabelle27[[#This Row],[Entfernung (km) gesamt]],0)</f>
        <v>0</v>
      </c>
      <c r="M9" s="8">
        <f>IF(Tabelle27[[#This Row],[Verkehrsmittel]]="PKW",Tabelle27[[#This Row],[Anzahl Studierende ]]*Tabelle27[[#This Row],[Entfernung (km) gesamt]],0)</f>
        <v>0</v>
      </c>
      <c r="N9" s="8">
        <f>IF(Tabelle27[[#This Row],[Verkehrsmittel]]="Flug", IF(AND(Tabelle27[[#This Row],[Entfernung (km) einfach]]&lt;500),Tabelle27[[#This Row],[Entfernung (km) gesamt]]), 0)*Tabelle27[[#This Row],[Anzahl Studierende ]]</f>
        <v>0</v>
      </c>
      <c r="O9" s="8">
        <f>IF(Tabelle27[[#This Row],[Verkehrsmittel]]="Flug", IF(AND(Tabelle27[[#This Row],[Entfernung (km) einfach]]&gt;500,Tabelle27[[#This Row],[Entfernung (km) einfach]]&lt;1000),Tabelle27[[#This Row],[Entfernung (km) gesamt]], 0), 0)*Tabelle27[[#This Row],[Anzahl Studierende ]]</f>
        <v>0</v>
      </c>
      <c r="P9" s="8">
        <f>IF(Tabelle27[[#This Row],[Verkehrsmittel]]="Flug", IF(AND(Tabelle27[[#This Row],[Entfernung (km) einfach]]&gt;1000,Tabelle27[[#This Row],[Entfernung (km) einfach]]&lt;2000),Tabelle27[[#This Row],[Entfernung (km) gesamt]], 0), 0)*Tabelle27[[#This Row],[Anzahl Studierende ]]</f>
        <v>0</v>
      </c>
      <c r="Q9" s="8">
        <f>IF(Tabelle27[[#This Row],[Verkehrsmittel]]="Flug", IF(AND(Tabelle27[[#This Row],[Entfernung (km) einfach]]&gt;2000,Tabelle27[[#This Row],[Entfernung (km) einfach]]&lt;5000),Tabelle27[[#This Row],[Entfernung (km) gesamt]], 0), 0)*Tabelle27[[#This Row],[Anzahl Studierende ]]</f>
        <v>0</v>
      </c>
      <c r="R9" s="8">
        <f>IF(Tabelle27[[#This Row],[Verkehrsmittel]]="Flug", IF(AND(Tabelle27[[#This Row],[Entfernung (km) einfach]]&gt;5000,Tabelle27[[#This Row],[Entfernung (km) einfach]]&lt;10000),Tabelle27[[#This Row],[Entfernung (km) gesamt]], 0), 0)*Tabelle27[[#This Row],[Anzahl Studierende ]]</f>
        <v>0</v>
      </c>
      <c r="S9" s="8">
        <f>IF(Tabelle27[[#This Row],[Verkehrsmittel]]="Flug", IF(AND(Tabelle27[[#This Row],[Entfernung (km) einfach]]&gt;10000),Tabelle27[[#This Row],[Entfernung (km) gesamt]]), 0)*Tabelle27[[#This Row],[Anzahl Studierende ]]</f>
        <v>0</v>
      </c>
      <c r="T9" s="8">
        <f>IF(Tabelle27[[#This Row],[Verkehrsmittel]]="Motorrad",Tabelle27[[#This Row],[Entfernung (km) gesamt]],0)*Tabelle27[[#This Row],[Anzahl Studierende ]]</f>
        <v>0</v>
      </c>
      <c r="U9" s="8">
        <f>IF(Tabelle27[[#This Row],[Verkehrsmittel]]="Straßen-, S-, U-Bahn",Tabelle27[[#This Row],[Entfernung (km) gesamt]],0)*Tabelle27[[#This Row],[Anzahl Studierende ]]</f>
        <v>0</v>
      </c>
      <c r="V9" s="8">
        <f>IF(Tabelle27[[#This Row],[Verkehrsmittel]]="Fahrrad",Tabelle27[[#This Row],[Entfernung (km) gesamt]],0)*Tabelle27[[#This Row],[Anzahl Studierende ]]</f>
        <v>0</v>
      </c>
    </row>
    <row r="10" spans="1:22" s="8" customFormat="1">
      <c r="A10"/>
      <c r="B10" s="159"/>
      <c r="C10" s="111"/>
      <c r="D10" s="160"/>
      <c r="E10" s="111"/>
      <c r="F10" s="111"/>
      <c r="G10" s="111"/>
      <c r="H10" s="111">
        <f>Tabelle27[[#This Row],[Entfernung (km) einfach]]*2</f>
        <v>0</v>
      </c>
      <c r="I10" s="111"/>
      <c r="J10" s="140"/>
      <c r="K10" s="8">
        <f>IF(Tabelle27[[#This Row],[Verkehrsmittel]]="Bus",Tabelle27[[#This Row],[Entfernung (km) gesamt]],0)*Tabelle27[[#This Row],[Anzahl Studierende ]]</f>
        <v>0</v>
      </c>
      <c r="L10" s="8">
        <f>IF(Tabelle27[[#This Row],[Verkehrsmittel]]="Bahn",Tabelle27[[#This Row],[Anzahl Studierende ]]*Tabelle27[[#This Row],[Entfernung (km) gesamt]],0)</f>
        <v>0</v>
      </c>
      <c r="M10" s="8">
        <f>IF(Tabelle27[[#This Row],[Verkehrsmittel]]="PKW",Tabelle27[[#This Row],[Anzahl Studierende ]]*Tabelle27[[#This Row],[Entfernung (km) gesamt]],0)</f>
        <v>0</v>
      </c>
      <c r="N10" s="8">
        <f>IF(Tabelle27[[#This Row],[Verkehrsmittel]]="Flug", IF(AND(Tabelle27[[#This Row],[Entfernung (km) einfach]]&lt;500),Tabelle27[[#This Row],[Entfernung (km) gesamt]]), 0)*Tabelle27[[#This Row],[Anzahl Studierende ]]</f>
        <v>0</v>
      </c>
      <c r="O10" s="8">
        <f>IF(Tabelle27[[#This Row],[Verkehrsmittel]]="Flug", IF(AND(Tabelle27[[#This Row],[Entfernung (km) einfach]]&gt;500,Tabelle27[[#This Row],[Entfernung (km) einfach]]&lt;1000),Tabelle27[[#This Row],[Entfernung (km) gesamt]], 0), 0)*Tabelle27[[#This Row],[Anzahl Studierende ]]</f>
        <v>0</v>
      </c>
      <c r="P10" s="8">
        <f>IF(Tabelle27[[#This Row],[Verkehrsmittel]]="Flug", IF(AND(Tabelle27[[#This Row],[Entfernung (km) einfach]]&gt;1000,Tabelle27[[#This Row],[Entfernung (km) einfach]]&lt;2000),Tabelle27[[#This Row],[Entfernung (km) gesamt]], 0), 0)*Tabelle27[[#This Row],[Anzahl Studierende ]]</f>
        <v>0</v>
      </c>
      <c r="Q10" s="8">
        <f>IF(Tabelle27[[#This Row],[Verkehrsmittel]]="Flug", IF(AND(Tabelle27[[#This Row],[Entfernung (km) einfach]]&gt;2000,Tabelle27[[#This Row],[Entfernung (km) einfach]]&lt;5000),Tabelle27[[#This Row],[Entfernung (km) gesamt]], 0), 0)*Tabelle27[[#This Row],[Anzahl Studierende ]]</f>
        <v>0</v>
      </c>
      <c r="R10" s="8">
        <f>IF(Tabelle27[[#This Row],[Verkehrsmittel]]="Flug", IF(AND(Tabelle27[[#This Row],[Entfernung (km) einfach]]&gt;5000,Tabelle27[[#This Row],[Entfernung (km) einfach]]&lt;10000),Tabelle27[[#This Row],[Entfernung (km) gesamt]], 0), 0)*Tabelle27[[#This Row],[Anzahl Studierende ]]</f>
        <v>0</v>
      </c>
      <c r="S10" s="8">
        <f>IF(Tabelle27[[#This Row],[Verkehrsmittel]]="Flug", IF(AND(Tabelle27[[#This Row],[Entfernung (km) einfach]]&gt;10000),Tabelle27[[#This Row],[Entfernung (km) gesamt]]), 0)*Tabelle27[[#This Row],[Anzahl Studierende ]]</f>
        <v>0</v>
      </c>
      <c r="T10" s="8">
        <f>IF(Tabelle27[[#This Row],[Verkehrsmittel]]="Motorrad",Tabelle27[[#This Row],[Entfernung (km) gesamt]],0)*Tabelle27[[#This Row],[Anzahl Studierende ]]</f>
        <v>0</v>
      </c>
      <c r="U10" s="8">
        <f>IF(Tabelle27[[#This Row],[Verkehrsmittel]]="Straßen-, S-, U-Bahn",Tabelle27[[#This Row],[Entfernung (km) gesamt]],0)*Tabelle27[[#This Row],[Anzahl Studierende ]]</f>
        <v>0</v>
      </c>
      <c r="V10" s="8">
        <f>IF(Tabelle27[[#This Row],[Verkehrsmittel]]="Fahrrad",Tabelle27[[#This Row],[Entfernung (km) gesamt]],0)*Tabelle27[[#This Row],[Anzahl Studierende ]]</f>
        <v>0</v>
      </c>
    </row>
    <row r="11" spans="1:22" s="8" customFormat="1">
      <c r="A11"/>
      <c r="B11" s="159"/>
      <c r="C11" s="111"/>
      <c r="D11" s="160"/>
      <c r="E11" s="111"/>
      <c r="F11" s="111"/>
      <c r="G11" s="111"/>
      <c r="H11" s="111">
        <f>Tabelle27[[#This Row],[Entfernung (km) einfach]]*2</f>
        <v>0</v>
      </c>
      <c r="I11" s="111"/>
      <c r="J11" s="140"/>
      <c r="K11" s="8">
        <f>IF(Tabelle27[[#This Row],[Verkehrsmittel]]="Bus",Tabelle27[[#This Row],[Entfernung (km) gesamt]],0)*Tabelle27[[#This Row],[Anzahl Studierende ]]</f>
        <v>0</v>
      </c>
      <c r="L11" s="8">
        <f>IF(Tabelle27[[#This Row],[Verkehrsmittel]]="Bahn",Tabelle27[[#This Row],[Anzahl Studierende ]]*Tabelle27[[#This Row],[Entfernung (km) gesamt]],0)</f>
        <v>0</v>
      </c>
      <c r="M11" s="8">
        <f>IF(Tabelle27[[#This Row],[Verkehrsmittel]]="PKW",Tabelle27[[#This Row],[Anzahl Studierende ]]*Tabelle27[[#This Row],[Entfernung (km) gesamt]],0)</f>
        <v>0</v>
      </c>
      <c r="N11" s="8">
        <f>IF(Tabelle27[[#This Row],[Verkehrsmittel]]="Flug", IF(AND(Tabelle27[[#This Row],[Entfernung (km) einfach]]&lt;500),Tabelle27[[#This Row],[Entfernung (km) gesamt]]), 0)*Tabelle27[[#This Row],[Anzahl Studierende ]]</f>
        <v>0</v>
      </c>
      <c r="O11" s="8">
        <f>IF(Tabelle27[[#This Row],[Verkehrsmittel]]="Flug", IF(AND(Tabelle27[[#This Row],[Entfernung (km) einfach]]&gt;500,Tabelle27[[#This Row],[Entfernung (km) einfach]]&lt;1000),Tabelle27[[#This Row],[Entfernung (km) gesamt]], 0), 0)*Tabelle27[[#This Row],[Anzahl Studierende ]]</f>
        <v>0</v>
      </c>
      <c r="P11" s="8">
        <f>IF(Tabelle27[[#This Row],[Verkehrsmittel]]="Flug", IF(AND(Tabelle27[[#This Row],[Entfernung (km) einfach]]&gt;1000,Tabelle27[[#This Row],[Entfernung (km) einfach]]&lt;2000),Tabelle27[[#This Row],[Entfernung (km) gesamt]], 0), 0)*Tabelle27[[#This Row],[Anzahl Studierende ]]</f>
        <v>0</v>
      </c>
      <c r="Q11" s="8">
        <f>IF(Tabelle27[[#This Row],[Verkehrsmittel]]="Flug", IF(AND(Tabelle27[[#This Row],[Entfernung (km) einfach]]&gt;2000,Tabelle27[[#This Row],[Entfernung (km) einfach]]&lt;5000),Tabelle27[[#This Row],[Entfernung (km) gesamt]], 0), 0)*Tabelle27[[#This Row],[Anzahl Studierende ]]</f>
        <v>0</v>
      </c>
      <c r="R11" s="8">
        <f>IF(Tabelle27[[#This Row],[Verkehrsmittel]]="Flug", IF(AND(Tabelle27[[#This Row],[Entfernung (km) einfach]]&gt;5000,Tabelle27[[#This Row],[Entfernung (km) einfach]]&lt;10000),Tabelle27[[#This Row],[Entfernung (km) gesamt]], 0), 0)*Tabelle27[[#This Row],[Anzahl Studierende ]]</f>
        <v>0</v>
      </c>
      <c r="S11" s="8">
        <f>IF(Tabelle27[[#This Row],[Verkehrsmittel]]="Flug", IF(AND(Tabelle27[[#This Row],[Entfernung (km) einfach]]&gt;10000),Tabelle27[[#This Row],[Entfernung (km) gesamt]]), 0)*Tabelle27[[#This Row],[Anzahl Studierende ]]</f>
        <v>0</v>
      </c>
      <c r="T11" s="8">
        <f>IF(Tabelle27[[#This Row],[Verkehrsmittel]]="Motorrad",Tabelle27[[#This Row],[Entfernung (km) gesamt]],0)*Tabelle27[[#This Row],[Anzahl Studierende ]]</f>
        <v>0</v>
      </c>
      <c r="U11" s="8">
        <f>IF(Tabelle27[[#This Row],[Verkehrsmittel]]="Straßen-, S-, U-Bahn",Tabelle27[[#This Row],[Entfernung (km) gesamt]],0)*Tabelle27[[#This Row],[Anzahl Studierende ]]</f>
        <v>0</v>
      </c>
      <c r="V11" s="8">
        <f>IF(Tabelle27[[#This Row],[Verkehrsmittel]]="Fahrrad",Tabelle27[[#This Row],[Entfernung (km) gesamt]],0)*Tabelle27[[#This Row],[Anzahl Studierende ]]</f>
        <v>0</v>
      </c>
    </row>
    <row r="12" spans="1:22" s="8" customFormat="1">
      <c r="A12"/>
      <c r="B12" s="159"/>
      <c r="C12" s="111"/>
      <c r="D12" s="160"/>
      <c r="E12" s="111"/>
      <c r="F12" s="111"/>
      <c r="G12" s="111"/>
      <c r="H12" s="111">
        <f>Tabelle27[[#This Row],[Entfernung (km) einfach]]*2</f>
        <v>0</v>
      </c>
      <c r="I12" s="111"/>
      <c r="J12" s="140"/>
      <c r="K12" s="8">
        <f>IF(Tabelle27[[#This Row],[Verkehrsmittel]]="Bus",Tabelle27[[#This Row],[Entfernung (km) gesamt]],0)*Tabelle27[[#This Row],[Anzahl Studierende ]]</f>
        <v>0</v>
      </c>
      <c r="L12" s="8">
        <f>IF(Tabelle27[[#This Row],[Verkehrsmittel]]="Bahn",Tabelle27[[#This Row],[Anzahl Studierende ]]*Tabelle27[[#This Row],[Entfernung (km) gesamt]],0)</f>
        <v>0</v>
      </c>
      <c r="M12" s="8">
        <f>IF(Tabelle27[[#This Row],[Verkehrsmittel]]="PKW",Tabelle27[[#This Row],[Anzahl Studierende ]]*Tabelle27[[#This Row],[Entfernung (km) gesamt]],0)</f>
        <v>0</v>
      </c>
      <c r="N12" s="8">
        <f>IF(Tabelle27[[#This Row],[Verkehrsmittel]]="Flug", IF(AND(Tabelle27[[#This Row],[Entfernung (km) einfach]]&lt;500),Tabelle27[[#This Row],[Entfernung (km) gesamt]]), 0)*Tabelle27[[#This Row],[Anzahl Studierende ]]</f>
        <v>0</v>
      </c>
      <c r="O12" s="8">
        <f>IF(Tabelle27[[#This Row],[Verkehrsmittel]]="Flug", IF(AND(Tabelle27[[#This Row],[Entfernung (km) einfach]]&gt;500,Tabelle27[[#This Row],[Entfernung (km) einfach]]&lt;1000),Tabelle27[[#This Row],[Entfernung (km) gesamt]], 0), 0)*Tabelle27[[#This Row],[Anzahl Studierende ]]</f>
        <v>0</v>
      </c>
      <c r="P12" s="8">
        <f>IF(Tabelle27[[#This Row],[Verkehrsmittel]]="Flug", IF(AND(Tabelle27[[#This Row],[Entfernung (km) einfach]]&gt;1000,Tabelle27[[#This Row],[Entfernung (km) einfach]]&lt;2000),Tabelle27[[#This Row],[Entfernung (km) gesamt]], 0), 0)*Tabelle27[[#This Row],[Anzahl Studierende ]]</f>
        <v>0</v>
      </c>
      <c r="Q12" s="8">
        <f>IF(Tabelle27[[#This Row],[Verkehrsmittel]]="Flug", IF(AND(Tabelle27[[#This Row],[Entfernung (km) einfach]]&gt;2000,Tabelle27[[#This Row],[Entfernung (km) einfach]]&lt;5000),Tabelle27[[#This Row],[Entfernung (km) gesamt]], 0), 0)*Tabelle27[[#This Row],[Anzahl Studierende ]]</f>
        <v>0</v>
      </c>
      <c r="R12" s="8">
        <f>IF(Tabelle27[[#This Row],[Verkehrsmittel]]="Flug", IF(AND(Tabelle27[[#This Row],[Entfernung (km) einfach]]&gt;5000,Tabelle27[[#This Row],[Entfernung (km) einfach]]&lt;10000),Tabelle27[[#This Row],[Entfernung (km) gesamt]], 0), 0)*Tabelle27[[#This Row],[Anzahl Studierende ]]</f>
        <v>0</v>
      </c>
      <c r="S12" s="8">
        <f>IF(Tabelle27[[#This Row],[Verkehrsmittel]]="Flug", IF(AND(Tabelle27[[#This Row],[Entfernung (km) einfach]]&gt;10000),Tabelle27[[#This Row],[Entfernung (km) gesamt]]), 0)*Tabelle27[[#This Row],[Anzahl Studierende ]]</f>
        <v>0</v>
      </c>
      <c r="T12" s="8">
        <f>IF(Tabelle27[[#This Row],[Verkehrsmittel]]="Motorrad",Tabelle27[[#This Row],[Entfernung (km) gesamt]],0)*Tabelle27[[#This Row],[Anzahl Studierende ]]</f>
        <v>0</v>
      </c>
      <c r="U12" s="8">
        <f>IF(Tabelle27[[#This Row],[Verkehrsmittel]]="Straßen-, S-, U-Bahn",Tabelle27[[#This Row],[Entfernung (km) gesamt]],0)*Tabelle27[[#This Row],[Anzahl Studierende ]]</f>
        <v>0</v>
      </c>
      <c r="V12" s="8">
        <f>IF(Tabelle27[[#This Row],[Verkehrsmittel]]="Fahrrad",Tabelle27[[#This Row],[Entfernung (km) gesamt]],0)*Tabelle27[[#This Row],[Anzahl Studierende ]]</f>
        <v>0</v>
      </c>
    </row>
    <row r="13" spans="1:22" s="8" customFormat="1">
      <c r="A13"/>
      <c r="B13" s="159"/>
      <c r="C13" s="111"/>
      <c r="D13" s="160"/>
      <c r="E13" s="111"/>
      <c r="F13" s="111"/>
      <c r="G13" s="111"/>
      <c r="H13" s="111">
        <f>Tabelle27[[#This Row],[Entfernung (km) einfach]]*2</f>
        <v>0</v>
      </c>
      <c r="I13" s="111"/>
      <c r="J13" s="140"/>
      <c r="K13" s="8">
        <f>IF(Tabelle27[[#This Row],[Verkehrsmittel]]="Bus",Tabelle27[[#This Row],[Entfernung (km) gesamt]],0)*Tabelle27[[#This Row],[Anzahl Studierende ]]</f>
        <v>0</v>
      </c>
      <c r="L13" s="8">
        <f>IF(Tabelle27[[#This Row],[Verkehrsmittel]]="Bahn",Tabelle27[[#This Row],[Anzahl Studierende ]]*Tabelle27[[#This Row],[Entfernung (km) gesamt]],0)</f>
        <v>0</v>
      </c>
      <c r="M13" s="8">
        <f>IF(Tabelle27[[#This Row],[Verkehrsmittel]]="PKW",Tabelle27[[#This Row],[Anzahl Studierende ]]*Tabelle27[[#This Row],[Entfernung (km) gesamt]],0)</f>
        <v>0</v>
      </c>
      <c r="N13" s="8">
        <f>IF(Tabelle27[[#This Row],[Verkehrsmittel]]="Flug", IF(AND(Tabelle27[[#This Row],[Entfernung (km) einfach]]&lt;500),Tabelle27[[#This Row],[Entfernung (km) gesamt]]), 0)*Tabelle27[[#This Row],[Anzahl Studierende ]]</f>
        <v>0</v>
      </c>
      <c r="O13" s="8">
        <f>IF(Tabelle27[[#This Row],[Verkehrsmittel]]="Flug", IF(AND(Tabelle27[[#This Row],[Entfernung (km) einfach]]&gt;500,Tabelle27[[#This Row],[Entfernung (km) einfach]]&lt;1000),Tabelle27[[#This Row],[Entfernung (km) gesamt]], 0), 0)*Tabelle27[[#This Row],[Anzahl Studierende ]]</f>
        <v>0</v>
      </c>
      <c r="P13" s="8">
        <f>IF(Tabelle27[[#This Row],[Verkehrsmittel]]="Flug", IF(AND(Tabelle27[[#This Row],[Entfernung (km) einfach]]&gt;1000,Tabelle27[[#This Row],[Entfernung (km) einfach]]&lt;2000),Tabelle27[[#This Row],[Entfernung (km) gesamt]], 0), 0)*Tabelle27[[#This Row],[Anzahl Studierende ]]</f>
        <v>0</v>
      </c>
      <c r="Q13" s="8">
        <f>IF(Tabelle27[[#This Row],[Verkehrsmittel]]="Flug", IF(AND(Tabelle27[[#This Row],[Entfernung (km) einfach]]&gt;2000,Tabelle27[[#This Row],[Entfernung (km) einfach]]&lt;5000),Tabelle27[[#This Row],[Entfernung (km) gesamt]], 0), 0)*Tabelle27[[#This Row],[Anzahl Studierende ]]</f>
        <v>0</v>
      </c>
      <c r="R13" s="8">
        <f>IF(Tabelle27[[#This Row],[Verkehrsmittel]]="Flug", IF(AND(Tabelle27[[#This Row],[Entfernung (km) einfach]]&gt;5000,Tabelle27[[#This Row],[Entfernung (km) einfach]]&lt;10000),Tabelle27[[#This Row],[Entfernung (km) gesamt]], 0), 0)*Tabelle27[[#This Row],[Anzahl Studierende ]]</f>
        <v>0</v>
      </c>
      <c r="S13" s="8">
        <f>IF(Tabelle27[[#This Row],[Verkehrsmittel]]="Flug", IF(AND(Tabelle27[[#This Row],[Entfernung (km) einfach]]&gt;10000),Tabelle27[[#This Row],[Entfernung (km) gesamt]]), 0)*Tabelle27[[#This Row],[Anzahl Studierende ]]</f>
        <v>0</v>
      </c>
      <c r="T13" s="8">
        <f>IF(Tabelle27[[#This Row],[Verkehrsmittel]]="Motorrad",Tabelle27[[#This Row],[Entfernung (km) gesamt]],0)*Tabelle27[[#This Row],[Anzahl Studierende ]]</f>
        <v>0</v>
      </c>
      <c r="U13" s="8">
        <f>IF(Tabelle27[[#This Row],[Verkehrsmittel]]="Straßen-, S-, U-Bahn",Tabelle27[[#This Row],[Entfernung (km) gesamt]],0)*Tabelle27[[#This Row],[Anzahl Studierende ]]</f>
        <v>0</v>
      </c>
      <c r="V13" s="8">
        <f>IF(Tabelle27[[#This Row],[Verkehrsmittel]]="Fahrrad",Tabelle27[[#This Row],[Entfernung (km) gesamt]],0)*Tabelle27[[#This Row],[Anzahl Studierende ]]</f>
        <v>0</v>
      </c>
    </row>
    <row r="14" spans="1:22" s="8" customFormat="1">
      <c r="A14"/>
      <c r="B14" s="159"/>
      <c r="C14" s="111"/>
      <c r="D14" s="160"/>
      <c r="E14" s="111"/>
      <c r="F14" s="111"/>
      <c r="G14" s="111"/>
      <c r="H14" s="111">
        <f>Tabelle27[[#This Row],[Entfernung (km) einfach]]*2</f>
        <v>0</v>
      </c>
      <c r="I14" s="111"/>
      <c r="J14" s="140"/>
      <c r="K14" s="8">
        <f>IF(Tabelle27[[#This Row],[Verkehrsmittel]]="Bus",Tabelle27[[#This Row],[Entfernung (km) gesamt]],0)*Tabelle27[[#This Row],[Anzahl Studierende ]]</f>
        <v>0</v>
      </c>
      <c r="L14" s="8">
        <f>IF(Tabelle27[[#This Row],[Verkehrsmittel]]="Bahn",Tabelle27[[#This Row],[Anzahl Studierende ]]*Tabelle27[[#This Row],[Entfernung (km) gesamt]],0)</f>
        <v>0</v>
      </c>
      <c r="M14" s="8">
        <f>IF(Tabelle27[[#This Row],[Verkehrsmittel]]="PKW",Tabelle27[[#This Row],[Anzahl Studierende ]]*Tabelle27[[#This Row],[Entfernung (km) gesamt]],0)</f>
        <v>0</v>
      </c>
      <c r="N14" s="8">
        <f>IF(Tabelle27[[#This Row],[Verkehrsmittel]]="Flug", IF(AND(Tabelle27[[#This Row],[Entfernung (km) einfach]]&lt;500),Tabelle27[[#This Row],[Entfernung (km) gesamt]]), 0)*Tabelle27[[#This Row],[Anzahl Studierende ]]</f>
        <v>0</v>
      </c>
      <c r="O14" s="8">
        <f>IF(Tabelle27[[#This Row],[Verkehrsmittel]]="Flug", IF(AND(Tabelle27[[#This Row],[Entfernung (km) einfach]]&gt;500,Tabelle27[[#This Row],[Entfernung (km) einfach]]&lt;1000),Tabelle27[[#This Row],[Entfernung (km) gesamt]], 0), 0)*Tabelle27[[#This Row],[Anzahl Studierende ]]</f>
        <v>0</v>
      </c>
      <c r="P14" s="8">
        <f>IF(Tabelle27[[#This Row],[Verkehrsmittel]]="Flug", IF(AND(Tabelle27[[#This Row],[Entfernung (km) einfach]]&gt;1000,Tabelle27[[#This Row],[Entfernung (km) einfach]]&lt;2000),Tabelle27[[#This Row],[Entfernung (km) gesamt]], 0), 0)*Tabelle27[[#This Row],[Anzahl Studierende ]]</f>
        <v>0</v>
      </c>
      <c r="Q14" s="8">
        <f>IF(Tabelle27[[#This Row],[Verkehrsmittel]]="Flug", IF(AND(Tabelle27[[#This Row],[Entfernung (km) einfach]]&gt;2000,Tabelle27[[#This Row],[Entfernung (km) einfach]]&lt;5000),Tabelle27[[#This Row],[Entfernung (km) gesamt]], 0), 0)*Tabelle27[[#This Row],[Anzahl Studierende ]]</f>
        <v>0</v>
      </c>
      <c r="R14" s="8">
        <f>IF(Tabelle27[[#This Row],[Verkehrsmittel]]="Flug", IF(AND(Tabelle27[[#This Row],[Entfernung (km) einfach]]&gt;5000,Tabelle27[[#This Row],[Entfernung (km) einfach]]&lt;10000),Tabelle27[[#This Row],[Entfernung (km) gesamt]], 0), 0)*Tabelle27[[#This Row],[Anzahl Studierende ]]</f>
        <v>0</v>
      </c>
      <c r="S14" s="8">
        <f>IF(Tabelle27[[#This Row],[Verkehrsmittel]]="Flug", IF(AND(Tabelle27[[#This Row],[Entfernung (km) einfach]]&gt;10000),Tabelle27[[#This Row],[Entfernung (km) gesamt]]), 0)*Tabelle27[[#This Row],[Anzahl Studierende ]]</f>
        <v>0</v>
      </c>
      <c r="T14" s="8">
        <f>IF(Tabelle27[[#This Row],[Verkehrsmittel]]="Motorrad",Tabelle27[[#This Row],[Entfernung (km) gesamt]],0)*Tabelle27[[#This Row],[Anzahl Studierende ]]</f>
        <v>0</v>
      </c>
      <c r="U14" s="8">
        <f>IF(Tabelle27[[#This Row],[Verkehrsmittel]]="Straßen-, S-, U-Bahn",Tabelle27[[#This Row],[Entfernung (km) gesamt]],0)*Tabelle27[[#This Row],[Anzahl Studierende ]]</f>
        <v>0</v>
      </c>
      <c r="V14" s="8">
        <f>IF(Tabelle27[[#This Row],[Verkehrsmittel]]="Fahrrad",Tabelle27[[#This Row],[Entfernung (km) gesamt]],0)*Tabelle27[[#This Row],[Anzahl Studierende ]]</f>
        <v>0</v>
      </c>
    </row>
    <row r="15" spans="1:22" s="8" customFormat="1">
      <c r="A15"/>
      <c r="B15" s="159"/>
      <c r="C15" s="111"/>
      <c r="D15" s="160"/>
      <c r="E15" s="111"/>
      <c r="F15" s="111"/>
      <c r="G15" s="111"/>
      <c r="H15" s="111">
        <f>Tabelle27[[#This Row],[Entfernung (km) einfach]]*2</f>
        <v>0</v>
      </c>
      <c r="I15" s="111"/>
      <c r="J15" s="140"/>
      <c r="K15" s="8">
        <f>IF(Tabelle27[[#This Row],[Verkehrsmittel]]="Bus",Tabelle27[[#This Row],[Entfernung (km) gesamt]],0)*Tabelle27[[#This Row],[Anzahl Studierende ]]</f>
        <v>0</v>
      </c>
      <c r="L15" s="8">
        <f>IF(Tabelle27[[#This Row],[Verkehrsmittel]]="Bahn",Tabelle27[[#This Row],[Anzahl Studierende ]]*Tabelle27[[#This Row],[Entfernung (km) gesamt]],0)</f>
        <v>0</v>
      </c>
      <c r="M15" s="8">
        <f>IF(Tabelle27[[#This Row],[Verkehrsmittel]]="PKW",Tabelle27[[#This Row],[Anzahl Studierende ]]*Tabelle27[[#This Row],[Entfernung (km) gesamt]],0)</f>
        <v>0</v>
      </c>
      <c r="N15" s="8">
        <f>IF(Tabelle27[[#This Row],[Verkehrsmittel]]="Flug", IF(AND(Tabelle27[[#This Row],[Entfernung (km) einfach]]&lt;500),Tabelle27[[#This Row],[Entfernung (km) gesamt]]), 0)*Tabelle27[[#This Row],[Anzahl Studierende ]]</f>
        <v>0</v>
      </c>
      <c r="O15" s="8">
        <f>IF(Tabelle27[[#This Row],[Verkehrsmittel]]="Flug", IF(AND(Tabelle27[[#This Row],[Entfernung (km) einfach]]&gt;500,Tabelle27[[#This Row],[Entfernung (km) einfach]]&lt;1000),Tabelle27[[#This Row],[Entfernung (km) gesamt]], 0), 0)*Tabelle27[[#This Row],[Anzahl Studierende ]]</f>
        <v>0</v>
      </c>
      <c r="P15" s="8">
        <f>IF(Tabelle27[[#This Row],[Verkehrsmittel]]="Flug", IF(AND(Tabelle27[[#This Row],[Entfernung (km) einfach]]&gt;1000,Tabelle27[[#This Row],[Entfernung (km) einfach]]&lt;2000),Tabelle27[[#This Row],[Entfernung (km) gesamt]], 0), 0)*Tabelle27[[#This Row],[Anzahl Studierende ]]</f>
        <v>0</v>
      </c>
      <c r="Q15" s="8">
        <f>IF(Tabelle27[[#This Row],[Verkehrsmittel]]="Flug", IF(AND(Tabelle27[[#This Row],[Entfernung (km) einfach]]&gt;2000,Tabelle27[[#This Row],[Entfernung (km) einfach]]&lt;5000),Tabelle27[[#This Row],[Entfernung (km) gesamt]], 0), 0)*Tabelle27[[#This Row],[Anzahl Studierende ]]</f>
        <v>0</v>
      </c>
      <c r="R15" s="8">
        <f>IF(Tabelle27[[#This Row],[Verkehrsmittel]]="Flug", IF(AND(Tabelle27[[#This Row],[Entfernung (km) einfach]]&gt;5000,Tabelle27[[#This Row],[Entfernung (km) einfach]]&lt;10000),Tabelle27[[#This Row],[Entfernung (km) gesamt]], 0), 0)*Tabelle27[[#This Row],[Anzahl Studierende ]]</f>
        <v>0</v>
      </c>
      <c r="S15" s="8">
        <f>IF(Tabelle27[[#This Row],[Verkehrsmittel]]="Flug", IF(AND(Tabelle27[[#This Row],[Entfernung (km) einfach]]&gt;10000),Tabelle27[[#This Row],[Entfernung (km) gesamt]]), 0)*Tabelle27[[#This Row],[Anzahl Studierende ]]</f>
        <v>0</v>
      </c>
      <c r="T15" s="8">
        <f>IF(Tabelle27[[#This Row],[Verkehrsmittel]]="Motorrad",Tabelle27[[#This Row],[Entfernung (km) gesamt]],0)*Tabelle27[[#This Row],[Anzahl Studierende ]]</f>
        <v>0</v>
      </c>
      <c r="U15" s="8">
        <f>IF(Tabelle27[[#This Row],[Verkehrsmittel]]="Straßen-, S-, U-Bahn",Tabelle27[[#This Row],[Entfernung (km) gesamt]],0)*Tabelle27[[#This Row],[Anzahl Studierende ]]</f>
        <v>0</v>
      </c>
      <c r="V15" s="8">
        <f>IF(Tabelle27[[#This Row],[Verkehrsmittel]]="Fahrrad",Tabelle27[[#This Row],[Entfernung (km) gesamt]],0)*Tabelle27[[#This Row],[Anzahl Studierende ]]</f>
        <v>0</v>
      </c>
    </row>
    <row r="16" spans="1:22" s="8" customFormat="1">
      <c r="A16"/>
      <c r="B16" s="159"/>
      <c r="C16" s="111"/>
      <c r="D16" s="160"/>
      <c r="E16" s="111"/>
      <c r="F16" s="111"/>
      <c r="G16" s="111"/>
      <c r="H16" s="111">
        <f>Tabelle27[[#This Row],[Entfernung (km) einfach]]*2</f>
        <v>0</v>
      </c>
      <c r="I16" s="111"/>
      <c r="J16" s="140"/>
      <c r="K16" s="8">
        <f>IF(Tabelle27[[#This Row],[Verkehrsmittel]]="Bus",Tabelle27[[#This Row],[Entfernung (km) gesamt]],0)*Tabelle27[[#This Row],[Anzahl Studierende ]]</f>
        <v>0</v>
      </c>
      <c r="L16" s="8">
        <f>IF(Tabelle27[[#This Row],[Verkehrsmittel]]="Bahn",Tabelle27[[#This Row],[Anzahl Studierende ]]*Tabelle27[[#This Row],[Entfernung (km) gesamt]],0)</f>
        <v>0</v>
      </c>
      <c r="M16" s="8">
        <f>IF(Tabelle27[[#This Row],[Verkehrsmittel]]="PKW",Tabelle27[[#This Row],[Anzahl Studierende ]]*Tabelle27[[#This Row],[Entfernung (km) gesamt]],0)</f>
        <v>0</v>
      </c>
      <c r="N16" s="8">
        <f>IF(Tabelle27[[#This Row],[Verkehrsmittel]]="Flug", IF(AND(Tabelle27[[#This Row],[Entfernung (km) einfach]]&lt;500),Tabelle27[[#This Row],[Entfernung (km) gesamt]]), 0)*Tabelle27[[#This Row],[Anzahl Studierende ]]</f>
        <v>0</v>
      </c>
      <c r="O16" s="8">
        <f>IF(Tabelle27[[#This Row],[Verkehrsmittel]]="Flug", IF(AND(Tabelle27[[#This Row],[Entfernung (km) einfach]]&gt;500,Tabelle27[[#This Row],[Entfernung (km) einfach]]&lt;1000),Tabelle27[[#This Row],[Entfernung (km) gesamt]], 0), 0)*Tabelle27[[#This Row],[Anzahl Studierende ]]</f>
        <v>0</v>
      </c>
      <c r="P16" s="8">
        <f>IF(Tabelle27[[#This Row],[Verkehrsmittel]]="Flug", IF(AND(Tabelle27[[#This Row],[Entfernung (km) einfach]]&gt;1000,Tabelle27[[#This Row],[Entfernung (km) einfach]]&lt;2000),Tabelle27[[#This Row],[Entfernung (km) gesamt]], 0), 0)*Tabelle27[[#This Row],[Anzahl Studierende ]]</f>
        <v>0</v>
      </c>
      <c r="Q16" s="8">
        <f>IF(Tabelle27[[#This Row],[Verkehrsmittel]]="Flug", IF(AND(Tabelle27[[#This Row],[Entfernung (km) einfach]]&gt;2000,Tabelle27[[#This Row],[Entfernung (km) einfach]]&lt;5000),Tabelle27[[#This Row],[Entfernung (km) gesamt]], 0), 0)*Tabelle27[[#This Row],[Anzahl Studierende ]]</f>
        <v>0</v>
      </c>
      <c r="R16" s="8">
        <f>IF(Tabelle27[[#This Row],[Verkehrsmittel]]="Flug", IF(AND(Tabelle27[[#This Row],[Entfernung (km) einfach]]&gt;5000,Tabelle27[[#This Row],[Entfernung (km) einfach]]&lt;10000),Tabelle27[[#This Row],[Entfernung (km) gesamt]], 0), 0)*Tabelle27[[#This Row],[Anzahl Studierende ]]</f>
        <v>0</v>
      </c>
      <c r="S16" s="8">
        <f>IF(Tabelle27[[#This Row],[Verkehrsmittel]]="Flug", IF(AND(Tabelle27[[#This Row],[Entfernung (km) einfach]]&gt;10000),Tabelle27[[#This Row],[Entfernung (km) gesamt]]), 0)*Tabelle27[[#This Row],[Anzahl Studierende ]]</f>
        <v>0</v>
      </c>
      <c r="T16" s="8">
        <f>IF(Tabelle27[[#This Row],[Verkehrsmittel]]="Motorrad",Tabelle27[[#This Row],[Entfernung (km) gesamt]],0)*Tabelle27[[#This Row],[Anzahl Studierende ]]</f>
        <v>0</v>
      </c>
      <c r="U16" s="8">
        <f>IF(Tabelle27[[#This Row],[Verkehrsmittel]]="Straßen-, S-, U-Bahn",Tabelle27[[#This Row],[Entfernung (km) gesamt]],0)*Tabelle27[[#This Row],[Anzahl Studierende ]]</f>
        <v>0</v>
      </c>
      <c r="V16" s="8">
        <f>IF(Tabelle27[[#This Row],[Verkehrsmittel]]="Fahrrad",Tabelle27[[#This Row],[Entfernung (km) gesamt]],0)*Tabelle27[[#This Row],[Anzahl Studierende ]]</f>
        <v>0</v>
      </c>
    </row>
    <row r="17" spans="1:22" s="8" customFormat="1">
      <c r="A17"/>
      <c r="B17" s="159"/>
      <c r="C17" s="111"/>
      <c r="D17" s="160"/>
      <c r="E17" s="111"/>
      <c r="F17" s="111"/>
      <c r="G17" s="111"/>
      <c r="H17" s="111">
        <f>Tabelle27[[#This Row],[Entfernung (km) einfach]]*2</f>
        <v>0</v>
      </c>
      <c r="I17" s="111"/>
      <c r="J17" s="140"/>
      <c r="K17" s="8">
        <f>IF(Tabelle27[[#This Row],[Verkehrsmittel]]="Bus",Tabelle27[[#This Row],[Entfernung (km) gesamt]],0)*Tabelle27[[#This Row],[Anzahl Studierende ]]</f>
        <v>0</v>
      </c>
      <c r="L17" s="8">
        <f>IF(Tabelle27[[#This Row],[Verkehrsmittel]]="Bahn",Tabelle27[[#This Row],[Anzahl Studierende ]]*Tabelle27[[#This Row],[Entfernung (km) gesamt]],0)</f>
        <v>0</v>
      </c>
      <c r="M17" s="8">
        <f>IF(Tabelle27[[#This Row],[Verkehrsmittel]]="PKW",Tabelle27[[#This Row],[Anzahl Studierende ]]*Tabelle27[[#This Row],[Entfernung (km) gesamt]],0)</f>
        <v>0</v>
      </c>
      <c r="N17" s="8">
        <f>IF(Tabelle27[[#This Row],[Verkehrsmittel]]="Flug", IF(AND(Tabelle27[[#This Row],[Entfernung (km) einfach]]&lt;500),Tabelle27[[#This Row],[Entfernung (km) gesamt]]), 0)*Tabelle27[[#This Row],[Anzahl Studierende ]]</f>
        <v>0</v>
      </c>
      <c r="O17" s="8">
        <f>IF(Tabelle27[[#This Row],[Verkehrsmittel]]="Flug", IF(AND(Tabelle27[[#This Row],[Entfernung (km) einfach]]&gt;500,Tabelle27[[#This Row],[Entfernung (km) einfach]]&lt;1000),Tabelle27[[#This Row],[Entfernung (km) gesamt]], 0), 0)*Tabelle27[[#This Row],[Anzahl Studierende ]]</f>
        <v>0</v>
      </c>
      <c r="P17" s="8">
        <f>IF(Tabelle27[[#This Row],[Verkehrsmittel]]="Flug", IF(AND(Tabelle27[[#This Row],[Entfernung (km) einfach]]&gt;1000,Tabelle27[[#This Row],[Entfernung (km) einfach]]&lt;2000),Tabelle27[[#This Row],[Entfernung (km) gesamt]], 0), 0)*Tabelle27[[#This Row],[Anzahl Studierende ]]</f>
        <v>0</v>
      </c>
      <c r="Q17" s="8">
        <f>IF(Tabelle27[[#This Row],[Verkehrsmittel]]="Flug", IF(AND(Tabelle27[[#This Row],[Entfernung (km) einfach]]&gt;2000,Tabelle27[[#This Row],[Entfernung (km) einfach]]&lt;5000),Tabelle27[[#This Row],[Entfernung (km) gesamt]], 0), 0)*Tabelle27[[#This Row],[Anzahl Studierende ]]</f>
        <v>0</v>
      </c>
      <c r="R17" s="8">
        <f>IF(Tabelle27[[#This Row],[Verkehrsmittel]]="Flug", IF(AND(Tabelle27[[#This Row],[Entfernung (km) einfach]]&gt;5000,Tabelle27[[#This Row],[Entfernung (km) einfach]]&lt;10000),Tabelle27[[#This Row],[Entfernung (km) gesamt]], 0), 0)*Tabelle27[[#This Row],[Anzahl Studierende ]]</f>
        <v>0</v>
      </c>
      <c r="S17" s="8">
        <f>IF(Tabelle27[[#This Row],[Verkehrsmittel]]="Flug", IF(AND(Tabelle27[[#This Row],[Entfernung (km) einfach]]&gt;10000),Tabelle27[[#This Row],[Entfernung (km) gesamt]]), 0)*Tabelle27[[#This Row],[Anzahl Studierende ]]</f>
        <v>0</v>
      </c>
      <c r="T17" s="8">
        <f>IF(Tabelle27[[#This Row],[Verkehrsmittel]]="Motorrad",Tabelle27[[#This Row],[Entfernung (km) gesamt]],0)*Tabelle27[[#This Row],[Anzahl Studierende ]]</f>
        <v>0</v>
      </c>
      <c r="U17" s="8">
        <f>IF(Tabelle27[[#This Row],[Verkehrsmittel]]="Straßen-, S-, U-Bahn",Tabelle27[[#This Row],[Entfernung (km) gesamt]],0)*Tabelle27[[#This Row],[Anzahl Studierende ]]</f>
        <v>0</v>
      </c>
      <c r="V17" s="8">
        <f>IF(Tabelle27[[#This Row],[Verkehrsmittel]]="Fahrrad",Tabelle27[[#This Row],[Entfernung (km) gesamt]],0)*Tabelle27[[#This Row],[Anzahl Studierende ]]</f>
        <v>0</v>
      </c>
    </row>
    <row r="18" spans="1:22" s="8" customFormat="1">
      <c r="A18"/>
      <c r="B18" s="159"/>
      <c r="C18" s="111"/>
      <c r="D18" s="160"/>
      <c r="E18" s="111"/>
      <c r="F18" s="111"/>
      <c r="G18" s="111"/>
      <c r="H18" s="111">
        <f>Tabelle27[[#This Row],[Entfernung (km) einfach]]*2</f>
        <v>0</v>
      </c>
      <c r="I18" s="111"/>
      <c r="J18" s="140"/>
      <c r="K18" s="8">
        <f>IF(Tabelle27[[#This Row],[Verkehrsmittel]]="Bus",Tabelle27[[#This Row],[Entfernung (km) gesamt]],0)*Tabelle27[[#This Row],[Anzahl Studierende ]]</f>
        <v>0</v>
      </c>
      <c r="L18" s="8">
        <f>IF(Tabelle27[[#This Row],[Verkehrsmittel]]="Bahn",Tabelle27[[#This Row],[Anzahl Studierende ]]*Tabelle27[[#This Row],[Entfernung (km) gesamt]],0)</f>
        <v>0</v>
      </c>
      <c r="M18" s="8">
        <f>IF(Tabelle27[[#This Row],[Verkehrsmittel]]="PKW",Tabelle27[[#This Row],[Anzahl Studierende ]]*Tabelle27[[#This Row],[Entfernung (km) gesamt]],0)</f>
        <v>0</v>
      </c>
      <c r="N18" s="8">
        <f>IF(Tabelle27[[#This Row],[Verkehrsmittel]]="Flug", IF(AND(Tabelle27[[#This Row],[Entfernung (km) einfach]]&lt;500),Tabelle27[[#This Row],[Entfernung (km) gesamt]]), 0)*Tabelle27[[#This Row],[Anzahl Studierende ]]</f>
        <v>0</v>
      </c>
      <c r="O18" s="8">
        <f>IF(Tabelle27[[#This Row],[Verkehrsmittel]]="Flug", IF(AND(Tabelle27[[#This Row],[Entfernung (km) einfach]]&gt;500,Tabelle27[[#This Row],[Entfernung (km) einfach]]&lt;1000),Tabelle27[[#This Row],[Entfernung (km) gesamt]], 0), 0)*Tabelle27[[#This Row],[Anzahl Studierende ]]</f>
        <v>0</v>
      </c>
      <c r="P18" s="8">
        <f>IF(Tabelle27[[#This Row],[Verkehrsmittel]]="Flug", IF(AND(Tabelle27[[#This Row],[Entfernung (km) einfach]]&gt;1000,Tabelle27[[#This Row],[Entfernung (km) einfach]]&lt;2000),Tabelle27[[#This Row],[Entfernung (km) gesamt]], 0), 0)*Tabelle27[[#This Row],[Anzahl Studierende ]]</f>
        <v>0</v>
      </c>
      <c r="Q18" s="8">
        <f>IF(Tabelle27[[#This Row],[Verkehrsmittel]]="Flug", IF(AND(Tabelle27[[#This Row],[Entfernung (km) einfach]]&gt;2000,Tabelle27[[#This Row],[Entfernung (km) einfach]]&lt;5000),Tabelle27[[#This Row],[Entfernung (km) gesamt]], 0), 0)*Tabelle27[[#This Row],[Anzahl Studierende ]]</f>
        <v>0</v>
      </c>
      <c r="R18" s="8">
        <f>IF(Tabelle27[[#This Row],[Verkehrsmittel]]="Flug", IF(AND(Tabelle27[[#This Row],[Entfernung (km) einfach]]&gt;5000,Tabelle27[[#This Row],[Entfernung (km) einfach]]&lt;10000),Tabelle27[[#This Row],[Entfernung (km) gesamt]], 0), 0)*Tabelle27[[#This Row],[Anzahl Studierende ]]</f>
        <v>0</v>
      </c>
      <c r="S18" s="8">
        <f>IF(Tabelle27[[#This Row],[Verkehrsmittel]]="Flug", IF(AND(Tabelle27[[#This Row],[Entfernung (km) einfach]]&gt;10000),Tabelle27[[#This Row],[Entfernung (km) gesamt]]), 0)*Tabelle27[[#This Row],[Anzahl Studierende ]]</f>
        <v>0</v>
      </c>
      <c r="T18" s="8">
        <f>IF(Tabelle27[[#This Row],[Verkehrsmittel]]="Motorrad",Tabelle27[[#This Row],[Entfernung (km) gesamt]],0)*Tabelle27[[#This Row],[Anzahl Studierende ]]</f>
        <v>0</v>
      </c>
      <c r="U18" s="8">
        <f>IF(Tabelle27[[#This Row],[Verkehrsmittel]]="Straßen-, S-, U-Bahn",Tabelle27[[#This Row],[Entfernung (km) gesamt]],0)*Tabelle27[[#This Row],[Anzahl Studierende ]]</f>
        <v>0</v>
      </c>
      <c r="V18" s="8">
        <f>IF(Tabelle27[[#This Row],[Verkehrsmittel]]="Fahrrad",Tabelle27[[#This Row],[Entfernung (km) gesamt]],0)*Tabelle27[[#This Row],[Anzahl Studierende ]]</f>
        <v>0</v>
      </c>
    </row>
    <row r="19" spans="1:22" s="8" customFormat="1">
      <c r="A19"/>
      <c r="B19" s="159"/>
      <c r="C19" s="111"/>
      <c r="D19" s="160"/>
      <c r="E19" s="111"/>
      <c r="F19" s="111"/>
      <c r="G19" s="111"/>
      <c r="H19" s="111">
        <f>Tabelle27[[#This Row],[Entfernung (km) einfach]]*2</f>
        <v>0</v>
      </c>
      <c r="I19" s="111"/>
      <c r="J19" s="140"/>
      <c r="K19" s="8">
        <f>IF(Tabelle27[[#This Row],[Verkehrsmittel]]="Bus",Tabelle27[[#This Row],[Entfernung (km) gesamt]],0)*Tabelle27[[#This Row],[Anzahl Studierende ]]</f>
        <v>0</v>
      </c>
      <c r="L19" s="8">
        <f>IF(Tabelle27[[#This Row],[Verkehrsmittel]]="Bahn",Tabelle27[[#This Row],[Anzahl Studierende ]]*Tabelle27[[#This Row],[Entfernung (km) gesamt]],0)</f>
        <v>0</v>
      </c>
      <c r="M19" s="8">
        <f>IF(Tabelle27[[#This Row],[Verkehrsmittel]]="PKW",Tabelle27[[#This Row],[Anzahl Studierende ]]*Tabelle27[[#This Row],[Entfernung (km) gesamt]],0)</f>
        <v>0</v>
      </c>
      <c r="N19" s="8">
        <f>IF(Tabelle27[[#This Row],[Verkehrsmittel]]="Flug", IF(AND(Tabelle27[[#This Row],[Entfernung (km) einfach]]&lt;500),Tabelle27[[#This Row],[Entfernung (km) gesamt]]), 0)*Tabelle27[[#This Row],[Anzahl Studierende ]]</f>
        <v>0</v>
      </c>
      <c r="O19" s="8">
        <f>IF(Tabelle27[[#This Row],[Verkehrsmittel]]="Flug", IF(AND(Tabelle27[[#This Row],[Entfernung (km) einfach]]&gt;500,Tabelle27[[#This Row],[Entfernung (km) einfach]]&lt;1000),Tabelle27[[#This Row],[Entfernung (km) gesamt]], 0), 0)*Tabelle27[[#This Row],[Anzahl Studierende ]]</f>
        <v>0</v>
      </c>
      <c r="P19" s="8">
        <f>IF(Tabelle27[[#This Row],[Verkehrsmittel]]="Flug", IF(AND(Tabelle27[[#This Row],[Entfernung (km) einfach]]&gt;1000,Tabelle27[[#This Row],[Entfernung (km) einfach]]&lt;2000),Tabelle27[[#This Row],[Entfernung (km) gesamt]], 0), 0)*Tabelle27[[#This Row],[Anzahl Studierende ]]</f>
        <v>0</v>
      </c>
      <c r="Q19" s="8">
        <f>IF(Tabelle27[[#This Row],[Verkehrsmittel]]="Flug", IF(AND(Tabelle27[[#This Row],[Entfernung (km) einfach]]&gt;2000,Tabelle27[[#This Row],[Entfernung (km) einfach]]&lt;5000),Tabelle27[[#This Row],[Entfernung (km) gesamt]], 0), 0)*Tabelle27[[#This Row],[Anzahl Studierende ]]</f>
        <v>0</v>
      </c>
      <c r="R19" s="8">
        <f>IF(Tabelle27[[#This Row],[Verkehrsmittel]]="Flug", IF(AND(Tabelle27[[#This Row],[Entfernung (km) einfach]]&gt;5000,Tabelle27[[#This Row],[Entfernung (km) einfach]]&lt;10000),Tabelle27[[#This Row],[Entfernung (km) gesamt]], 0), 0)*Tabelle27[[#This Row],[Anzahl Studierende ]]</f>
        <v>0</v>
      </c>
      <c r="S19" s="8">
        <f>IF(Tabelle27[[#This Row],[Verkehrsmittel]]="Flug", IF(AND(Tabelle27[[#This Row],[Entfernung (km) einfach]]&gt;10000),Tabelle27[[#This Row],[Entfernung (km) gesamt]]), 0)*Tabelle27[[#This Row],[Anzahl Studierende ]]</f>
        <v>0</v>
      </c>
      <c r="T19" s="8">
        <f>IF(Tabelle27[[#This Row],[Verkehrsmittel]]="Motorrad",Tabelle27[[#This Row],[Entfernung (km) gesamt]],0)*Tabelle27[[#This Row],[Anzahl Studierende ]]</f>
        <v>0</v>
      </c>
      <c r="U19" s="8">
        <f>IF(Tabelle27[[#This Row],[Verkehrsmittel]]="Straßen-, S-, U-Bahn",Tabelle27[[#This Row],[Entfernung (km) gesamt]],0)*Tabelle27[[#This Row],[Anzahl Studierende ]]</f>
        <v>0</v>
      </c>
      <c r="V19" s="8">
        <f>IF(Tabelle27[[#This Row],[Verkehrsmittel]]="Fahrrad",Tabelle27[[#This Row],[Entfernung (km) gesamt]],0)*Tabelle27[[#This Row],[Anzahl Studierende ]]</f>
        <v>0</v>
      </c>
    </row>
    <row r="20" spans="1:22" s="8" customFormat="1">
      <c r="A20"/>
      <c r="B20" s="138"/>
      <c r="C20" s="139"/>
      <c r="D20" s="160"/>
      <c r="E20" s="111"/>
      <c r="F20" s="111"/>
      <c r="G20" s="111"/>
      <c r="H20" s="111">
        <f>Tabelle27[[#This Row],[Entfernung (km) einfach]]*2</f>
        <v>0</v>
      </c>
      <c r="I20" s="111"/>
      <c r="J20" s="140"/>
      <c r="K20" s="14">
        <f>IF(Tabelle27[[#This Row],[Verkehrsmittel]]="Bus",Tabelle27[[#This Row],[Entfernung (km) gesamt]],0)*Tabelle27[[#This Row],[Anzahl Studierende ]]</f>
        <v>0</v>
      </c>
      <c r="L20" s="14">
        <f>IF(Tabelle27[[#This Row],[Verkehrsmittel]]="Bahn",Tabelle27[[#This Row],[Anzahl Studierende ]]*Tabelle27[[#This Row],[Entfernung (km) gesamt]],0)</f>
        <v>0</v>
      </c>
      <c r="M20" s="14">
        <f>IF(Tabelle27[[#This Row],[Verkehrsmittel]]="PKW",Tabelle27[[#This Row],[Anzahl Studierende ]]*Tabelle27[[#This Row],[Entfernung (km) gesamt]],0)</f>
        <v>0</v>
      </c>
      <c r="N20" s="14">
        <f>IF(Tabelle27[[#This Row],[Verkehrsmittel]]="Flug", IF(AND(Tabelle27[[#This Row],[Entfernung (km) einfach]]&lt;500),Tabelle27[[#This Row],[Entfernung (km) gesamt]]), 0)*Tabelle27[[#This Row],[Anzahl Studierende ]]</f>
        <v>0</v>
      </c>
      <c r="O20" s="14">
        <f>IF(Tabelle27[[#This Row],[Verkehrsmittel]]="Flug", IF(AND(Tabelle27[[#This Row],[Entfernung (km) einfach]]&gt;500,Tabelle27[[#This Row],[Entfernung (km) einfach]]&lt;1000),Tabelle27[[#This Row],[Entfernung (km) gesamt]], 0), 0)*Tabelle27[[#This Row],[Anzahl Studierende ]]</f>
        <v>0</v>
      </c>
      <c r="P20" s="14">
        <f>IF(Tabelle27[[#This Row],[Verkehrsmittel]]="Flug", IF(AND(Tabelle27[[#This Row],[Entfernung (km) einfach]]&gt;1000,Tabelle27[[#This Row],[Entfernung (km) einfach]]&lt;2000),Tabelle27[[#This Row],[Entfernung (km) gesamt]], 0), 0)*Tabelle27[[#This Row],[Anzahl Studierende ]]</f>
        <v>0</v>
      </c>
      <c r="Q20" s="14">
        <f>IF(Tabelle27[[#This Row],[Verkehrsmittel]]="Flug", IF(AND(Tabelle27[[#This Row],[Entfernung (km) einfach]]&gt;2000,Tabelle27[[#This Row],[Entfernung (km) einfach]]&lt;5000),Tabelle27[[#This Row],[Entfernung (km) gesamt]], 0), 0)*Tabelle27[[#This Row],[Anzahl Studierende ]]</f>
        <v>0</v>
      </c>
      <c r="R20" s="14">
        <f>IF(Tabelle27[[#This Row],[Verkehrsmittel]]="Flug", IF(AND(Tabelle27[[#This Row],[Entfernung (km) einfach]]&gt;5000,Tabelle27[[#This Row],[Entfernung (km) einfach]]&lt;10000),Tabelle27[[#This Row],[Entfernung (km) gesamt]], 0), 0)*Tabelle27[[#This Row],[Anzahl Studierende ]]</f>
        <v>0</v>
      </c>
      <c r="S20" s="8">
        <f>IF(Tabelle27[[#This Row],[Verkehrsmittel]]="Flug", IF(AND(Tabelle27[[#This Row],[Entfernung (km) einfach]]&gt;10000),Tabelle27[[#This Row],[Entfernung (km) gesamt]]), 0)*Tabelle27[[#This Row],[Anzahl Studierende ]]</f>
        <v>0</v>
      </c>
      <c r="T20" s="8">
        <f>IF(Tabelle27[[#This Row],[Verkehrsmittel]]="Motorrad",Tabelle27[[#This Row],[Entfernung (km) gesamt]],0)*Tabelle27[[#This Row],[Anzahl Studierende ]]</f>
        <v>0</v>
      </c>
      <c r="U20" s="8">
        <f>IF(Tabelle27[[#This Row],[Verkehrsmittel]]="Straßen-, S-, U-Bahn",Tabelle27[[#This Row],[Entfernung (km) gesamt]],0)*Tabelle27[[#This Row],[Anzahl Studierende ]]</f>
        <v>0</v>
      </c>
      <c r="V20" s="8">
        <f>IF(Tabelle27[[#This Row],[Verkehrsmittel]]="Fahrrad",Tabelle27[[#This Row],[Entfernung (km) gesamt]],0)*Tabelle27[[#This Row],[Anzahl Studierende ]]</f>
        <v>0</v>
      </c>
    </row>
    <row r="21" spans="1:22" s="8" customFormat="1">
      <c r="A21"/>
      <c r="B21" s="138"/>
      <c r="C21" s="139"/>
      <c r="D21" s="160"/>
      <c r="E21" s="111"/>
      <c r="F21" s="111"/>
      <c r="G21" s="111"/>
      <c r="H21" s="111">
        <f>Tabelle27[[#This Row],[Entfernung (km) einfach]]*2</f>
        <v>0</v>
      </c>
      <c r="I21" s="111"/>
      <c r="J21" s="140"/>
      <c r="K21" s="8">
        <f>IF(Tabelle27[[#This Row],[Verkehrsmittel]]="Bus",Tabelle27[[#This Row],[Entfernung (km) gesamt]],0)*Tabelle27[[#This Row],[Anzahl Studierende ]]</f>
        <v>0</v>
      </c>
      <c r="L21" s="8">
        <f>IF(Tabelle27[[#This Row],[Verkehrsmittel]]="Bahn",Tabelle27[[#This Row],[Anzahl Studierende ]]*Tabelle27[[#This Row],[Entfernung (km) gesamt]],0)</f>
        <v>0</v>
      </c>
      <c r="M21" s="8">
        <f>IF(Tabelle27[[#This Row],[Verkehrsmittel]]="PKW",Tabelle27[[#This Row],[Anzahl Studierende ]]*Tabelle27[[#This Row],[Entfernung (km) gesamt]],0)</f>
        <v>0</v>
      </c>
      <c r="N21" s="8">
        <f>IF(Tabelle27[[#This Row],[Verkehrsmittel]]="Flug", IF(AND(Tabelle27[[#This Row],[Entfernung (km) einfach]]&lt;500),Tabelle27[[#This Row],[Entfernung (km) gesamt]]), 0)*Tabelle27[[#This Row],[Anzahl Studierende ]]</f>
        <v>0</v>
      </c>
      <c r="O21" s="8">
        <f>IF(Tabelle27[[#This Row],[Verkehrsmittel]]="Flug", IF(AND(Tabelle27[[#This Row],[Entfernung (km) einfach]]&gt;500,Tabelle27[[#This Row],[Entfernung (km) einfach]]&lt;1000),Tabelle27[[#This Row],[Entfernung (km) gesamt]], 0), 0)*Tabelle27[[#This Row],[Anzahl Studierende ]]</f>
        <v>0</v>
      </c>
      <c r="P21" s="8">
        <f>IF(Tabelle27[[#This Row],[Verkehrsmittel]]="Flug", IF(AND(Tabelle27[[#This Row],[Entfernung (km) einfach]]&gt;1000,Tabelle27[[#This Row],[Entfernung (km) einfach]]&lt;2000),Tabelle27[[#This Row],[Entfernung (km) gesamt]], 0), 0)*Tabelle27[[#This Row],[Anzahl Studierende ]]</f>
        <v>0</v>
      </c>
      <c r="Q21" s="8">
        <f>IF(Tabelle27[[#This Row],[Verkehrsmittel]]="Flug", IF(AND(Tabelle27[[#This Row],[Entfernung (km) einfach]]&gt;2000,Tabelle27[[#This Row],[Entfernung (km) einfach]]&lt;5000),Tabelle27[[#This Row],[Entfernung (km) gesamt]], 0), 0)*Tabelle27[[#This Row],[Anzahl Studierende ]]</f>
        <v>0</v>
      </c>
      <c r="R21" s="8">
        <f>IF(Tabelle27[[#This Row],[Verkehrsmittel]]="Flug", IF(AND(Tabelle27[[#This Row],[Entfernung (km) einfach]]&gt;5000,Tabelle27[[#This Row],[Entfernung (km) einfach]]&lt;10000),Tabelle27[[#This Row],[Entfernung (km) gesamt]], 0), 0)*Tabelle27[[#This Row],[Anzahl Studierende ]]</f>
        <v>0</v>
      </c>
      <c r="S21" s="8">
        <f>IF(Tabelle27[[#This Row],[Verkehrsmittel]]="Flug", IF(AND(Tabelle27[[#This Row],[Entfernung (km) einfach]]&gt;10000),Tabelle27[[#This Row],[Entfernung (km) gesamt]]), 0)*Tabelle27[[#This Row],[Anzahl Studierende ]]</f>
        <v>0</v>
      </c>
      <c r="T21" s="8">
        <f>IF(Tabelle27[[#This Row],[Verkehrsmittel]]="Motorrad",Tabelle27[[#This Row],[Entfernung (km) gesamt]],0)*Tabelle27[[#This Row],[Anzahl Studierende ]]</f>
        <v>0</v>
      </c>
      <c r="U21" s="8">
        <f>IF(Tabelle27[[#This Row],[Verkehrsmittel]]="Straßen-, S-, U-Bahn",Tabelle27[[#This Row],[Entfernung (km) gesamt]],0)*Tabelle27[[#This Row],[Anzahl Studierende ]]</f>
        <v>0</v>
      </c>
      <c r="V21" s="8">
        <f>IF(Tabelle27[[#This Row],[Verkehrsmittel]]="Fahrrad",Tabelle27[[#This Row],[Entfernung (km) gesamt]],0)*Tabelle27[[#This Row],[Anzahl Studierende ]]</f>
        <v>0</v>
      </c>
    </row>
    <row r="22" spans="1:22" s="8" customFormat="1">
      <c r="A22"/>
      <c r="B22" s="138"/>
      <c r="C22" s="139"/>
      <c r="D22" s="161"/>
      <c r="E22" s="111"/>
      <c r="F22" s="111"/>
      <c r="G22" s="111"/>
      <c r="H22" s="111">
        <f>Tabelle27[[#This Row],[Entfernung (km) einfach]]*2</f>
        <v>0</v>
      </c>
      <c r="I22" s="111"/>
      <c r="J22" s="140"/>
      <c r="K22" s="8">
        <f>IF(Tabelle27[[#This Row],[Verkehrsmittel]]="Bus",Tabelle27[[#This Row],[Entfernung (km) gesamt]],0)*Tabelle27[[#This Row],[Anzahl Studierende ]]</f>
        <v>0</v>
      </c>
      <c r="L22" s="8">
        <f>IF(Tabelle27[[#This Row],[Verkehrsmittel]]="Bahn",Tabelle27[[#This Row],[Anzahl Studierende ]]*Tabelle27[[#This Row],[Entfernung (km) gesamt]],0)</f>
        <v>0</v>
      </c>
      <c r="M22" s="8">
        <f>IF(Tabelle27[[#This Row],[Verkehrsmittel]]="PKW",Tabelle27[[#This Row],[Anzahl Studierende ]]*Tabelle27[[#This Row],[Entfernung (km) gesamt]],0)</f>
        <v>0</v>
      </c>
      <c r="N22" s="8">
        <f>IF(Tabelle27[[#This Row],[Verkehrsmittel]]="Flug", IF(AND(Tabelle27[[#This Row],[Entfernung (km) einfach]]&lt;500),Tabelle27[[#This Row],[Entfernung (km) gesamt]]), 0)*Tabelle27[[#This Row],[Anzahl Studierende ]]</f>
        <v>0</v>
      </c>
      <c r="O22" s="8">
        <f>IF(Tabelle27[[#This Row],[Verkehrsmittel]]="Flug", IF(AND(Tabelle27[[#This Row],[Entfernung (km) einfach]]&gt;500,Tabelle27[[#This Row],[Entfernung (km) einfach]]&lt;1000),Tabelle27[[#This Row],[Entfernung (km) gesamt]], 0), 0)*Tabelle27[[#This Row],[Anzahl Studierende ]]</f>
        <v>0</v>
      </c>
      <c r="P22" s="8">
        <f>IF(Tabelle27[[#This Row],[Verkehrsmittel]]="Flug", IF(AND(Tabelle27[[#This Row],[Entfernung (km) einfach]]&gt;1000,Tabelle27[[#This Row],[Entfernung (km) einfach]]&lt;2000),Tabelle27[[#This Row],[Entfernung (km) gesamt]], 0), 0)*Tabelle27[[#This Row],[Anzahl Studierende ]]</f>
        <v>0</v>
      </c>
      <c r="Q22" s="8">
        <f>IF(Tabelle27[[#This Row],[Verkehrsmittel]]="Flug", IF(AND(Tabelle27[[#This Row],[Entfernung (km) einfach]]&gt;2000,Tabelle27[[#This Row],[Entfernung (km) einfach]]&lt;5000),Tabelle27[[#This Row],[Entfernung (km) gesamt]], 0), 0)*Tabelle27[[#This Row],[Anzahl Studierende ]]</f>
        <v>0</v>
      </c>
      <c r="R22" s="8">
        <f>IF(Tabelle27[[#This Row],[Verkehrsmittel]]="Flug", IF(AND(Tabelle27[[#This Row],[Entfernung (km) einfach]]&gt;5000,Tabelle27[[#This Row],[Entfernung (km) einfach]]&lt;10000),Tabelle27[[#This Row],[Entfernung (km) gesamt]], 0), 0)*Tabelle27[[#This Row],[Anzahl Studierende ]]</f>
        <v>0</v>
      </c>
      <c r="S22" s="8">
        <f>IF(Tabelle27[[#This Row],[Verkehrsmittel]]="Flug", IF(AND(Tabelle27[[#This Row],[Entfernung (km) einfach]]&gt;10000),Tabelle27[[#This Row],[Entfernung (km) gesamt]]), 0)*Tabelle27[[#This Row],[Anzahl Studierende ]]</f>
        <v>0</v>
      </c>
      <c r="T22" s="8">
        <f>IF(Tabelle27[[#This Row],[Verkehrsmittel]]="Motorrad",Tabelle27[[#This Row],[Entfernung (km) gesamt]],0)*Tabelle27[[#This Row],[Anzahl Studierende ]]</f>
        <v>0</v>
      </c>
      <c r="U22" s="8">
        <f>IF(Tabelle27[[#This Row],[Verkehrsmittel]]="Straßen-, S-, U-Bahn",Tabelle27[[#This Row],[Entfernung (km) gesamt]],0)*Tabelle27[[#This Row],[Anzahl Studierende ]]</f>
        <v>0</v>
      </c>
      <c r="V22" s="8">
        <f>IF(Tabelle27[[#This Row],[Verkehrsmittel]]="Fahrrad",Tabelle27[[#This Row],[Entfernung (km) gesamt]],0)*Tabelle27[[#This Row],[Anzahl Studierende ]]</f>
        <v>0</v>
      </c>
    </row>
    <row r="23" spans="1:22" s="8" customFormat="1">
      <c r="A23"/>
      <c r="B23" s="138"/>
      <c r="C23" s="139"/>
      <c r="D23" s="160"/>
      <c r="E23" s="111"/>
      <c r="F23" s="111"/>
      <c r="G23" s="111"/>
      <c r="H23" s="111">
        <f>Tabelle27[[#This Row],[Entfernung (km) einfach]]*2</f>
        <v>0</v>
      </c>
      <c r="I23" s="111"/>
      <c r="J23" s="140"/>
      <c r="K23" s="8">
        <f>IF(Tabelle27[[#This Row],[Verkehrsmittel]]="Bus",Tabelle27[[#This Row],[Entfernung (km) gesamt]],0)*Tabelle27[[#This Row],[Anzahl Studierende ]]</f>
        <v>0</v>
      </c>
      <c r="L23" s="8">
        <f>IF(Tabelle27[[#This Row],[Verkehrsmittel]]="Bahn",Tabelle27[[#This Row],[Anzahl Studierende ]]*Tabelle27[[#This Row],[Entfernung (km) gesamt]],0)</f>
        <v>0</v>
      </c>
      <c r="M23" s="8">
        <f>IF(Tabelle27[[#This Row],[Verkehrsmittel]]="PKW",Tabelle27[[#This Row],[Anzahl Studierende ]]*Tabelle27[[#This Row],[Entfernung (km) gesamt]],0)</f>
        <v>0</v>
      </c>
      <c r="N23" s="8">
        <f>IF(Tabelle27[[#This Row],[Verkehrsmittel]]="Flug", IF(AND(Tabelle27[[#This Row],[Entfernung (km) einfach]]&lt;500),Tabelle27[[#This Row],[Entfernung (km) gesamt]]), 0)*Tabelle27[[#This Row],[Anzahl Studierende ]]</f>
        <v>0</v>
      </c>
      <c r="O23" s="8">
        <f>IF(Tabelle27[[#This Row],[Verkehrsmittel]]="Flug", IF(AND(Tabelle27[[#This Row],[Entfernung (km) einfach]]&gt;500,Tabelle27[[#This Row],[Entfernung (km) einfach]]&lt;1000),Tabelle27[[#This Row],[Entfernung (km) gesamt]], 0), 0)*Tabelle27[[#This Row],[Anzahl Studierende ]]</f>
        <v>0</v>
      </c>
      <c r="P23" s="8">
        <f>IF(Tabelle27[[#This Row],[Verkehrsmittel]]="Flug", IF(AND(Tabelle27[[#This Row],[Entfernung (km) einfach]]&gt;1000,Tabelle27[[#This Row],[Entfernung (km) einfach]]&lt;2000),Tabelle27[[#This Row],[Entfernung (km) gesamt]], 0), 0)*Tabelle27[[#This Row],[Anzahl Studierende ]]</f>
        <v>0</v>
      </c>
      <c r="Q23" s="8">
        <f>IF(Tabelle27[[#This Row],[Verkehrsmittel]]="Flug", IF(AND(Tabelle27[[#This Row],[Entfernung (km) einfach]]&gt;2000,Tabelle27[[#This Row],[Entfernung (km) einfach]]&lt;5000),Tabelle27[[#This Row],[Entfernung (km) gesamt]], 0), 0)*Tabelle27[[#This Row],[Anzahl Studierende ]]</f>
        <v>0</v>
      </c>
      <c r="R23" s="8">
        <f>IF(Tabelle27[[#This Row],[Verkehrsmittel]]="Flug", IF(AND(Tabelle27[[#This Row],[Entfernung (km) einfach]]&gt;5000,Tabelle27[[#This Row],[Entfernung (km) einfach]]&lt;10000),Tabelle27[[#This Row],[Entfernung (km) gesamt]], 0), 0)*Tabelle27[[#This Row],[Anzahl Studierende ]]</f>
        <v>0</v>
      </c>
      <c r="S23" s="8">
        <f>IF(Tabelle27[[#This Row],[Verkehrsmittel]]="Flug", IF(AND(Tabelle27[[#This Row],[Entfernung (km) einfach]]&gt;10000),Tabelle27[[#This Row],[Entfernung (km) gesamt]]), 0)*Tabelle27[[#This Row],[Anzahl Studierende ]]</f>
        <v>0</v>
      </c>
      <c r="T23" s="8">
        <f>IF(Tabelle27[[#This Row],[Verkehrsmittel]]="Motorrad",Tabelle27[[#This Row],[Entfernung (km) gesamt]],0)*Tabelle27[[#This Row],[Anzahl Studierende ]]</f>
        <v>0</v>
      </c>
      <c r="U23" s="8">
        <f>IF(Tabelle27[[#This Row],[Verkehrsmittel]]="Straßen-, S-, U-Bahn",Tabelle27[[#This Row],[Entfernung (km) gesamt]],0)*Tabelle27[[#This Row],[Anzahl Studierende ]]</f>
        <v>0</v>
      </c>
      <c r="V23" s="8">
        <f>IF(Tabelle27[[#This Row],[Verkehrsmittel]]="Fahrrad",Tabelle27[[#This Row],[Entfernung (km) gesamt]],0)*Tabelle27[[#This Row],[Anzahl Studierende ]]</f>
        <v>0</v>
      </c>
    </row>
    <row r="24" spans="1:22" s="8" customFormat="1">
      <c r="B24" s="138"/>
      <c r="C24" s="139"/>
      <c r="D24" s="160"/>
      <c r="E24" s="111"/>
      <c r="F24" s="111"/>
      <c r="G24" s="111"/>
      <c r="H24" s="111">
        <f>Tabelle27[[#This Row],[Entfernung (km) einfach]]*2</f>
        <v>0</v>
      </c>
      <c r="I24" s="111"/>
      <c r="J24" s="140"/>
      <c r="K24" s="8">
        <f>IF(Tabelle27[[#This Row],[Verkehrsmittel]]="Bus",Tabelle27[[#This Row],[Entfernung (km) gesamt]],0)*Tabelle27[[#This Row],[Anzahl Studierende ]]</f>
        <v>0</v>
      </c>
      <c r="L24" s="8">
        <f>IF(Tabelle27[[#This Row],[Verkehrsmittel]]="Bahn",Tabelle27[[#This Row],[Anzahl Studierende ]]*Tabelle27[[#This Row],[Entfernung (km) gesamt]],0)</f>
        <v>0</v>
      </c>
      <c r="M24" s="8">
        <f>IF(Tabelle27[[#This Row],[Verkehrsmittel]]="PKW",Tabelle27[[#This Row],[Anzahl Studierende ]]*Tabelle27[[#This Row],[Entfernung (km) gesamt]],0)</f>
        <v>0</v>
      </c>
      <c r="N24" s="8">
        <f>IF(Tabelle27[[#This Row],[Verkehrsmittel]]="Flug", IF(AND(Tabelle27[[#This Row],[Entfernung (km) einfach]]&lt;500),Tabelle27[[#This Row],[Entfernung (km) gesamt]]), 0)*Tabelle27[[#This Row],[Anzahl Studierende ]]</f>
        <v>0</v>
      </c>
      <c r="O24" s="8">
        <f>IF(Tabelle27[[#This Row],[Verkehrsmittel]]="Flug", IF(AND(Tabelle27[[#This Row],[Entfernung (km) einfach]]&gt;500,Tabelle27[[#This Row],[Entfernung (km) einfach]]&lt;1000),Tabelle27[[#This Row],[Entfernung (km) gesamt]], 0), 0)*Tabelle27[[#This Row],[Anzahl Studierende ]]</f>
        <v>0</v>
      </c>
      <c r="P24" s="8">
        <f>IF(Tabelle27[[#This Row],[Verkehrsmittel]]="Flug", IF(AND(Tabelle27[[#This Row],[Entfernung (km) einfach]]&gt;1000,Tabelle27[[#This Row],[Entfernung (km) einfach]]&lt;2000),Tabelle27[[#This Row],[Entfernung (km) gesamt]], 0), 0)*Tabelle27[[#This Row],[Anzahl Studierende ]]</f>
        <v>0</v>
      </c>
      <c r="Q24" s="8">
        <f>IF(Tabelle27[[#This Row],[Verkehrsmittel]]="Flug", IF(AND(Tabelle27[[#This Row],[Entfernung (km) einfach]]&gt;2000,Tabelle27[[#This Row],[Entfernung (km) einfach]]&lt;5000),Tabelle27[[#This Row],[Entfernung (km) gesamt]], 0), 0)*Tabelle27[[#This Row],[Anzahl Studierende ]]</f>
        <v>0</v>
      </c>
      <c r="R24" s="8">
        <f>IF(Tabelle27[[#This Row],[Verkehrsmittel]]="Flug", IF(AND(Tabelle27[[#This Row],[Entfernung (km) einfach]]&gt;5000,Tabelle27[[#This Row],[Entfernung (km) einfach]]&lt;10000),Tabelle27[[#This Row],[Entfernung (km) gesamt]], 0), 0)*Tabelle27[[#This Row],[Anzahl Studierende ]]</f>
        <v>0</v>
      </c>
      <c r="S24" s="8">
        <f>IF(Tabelle27[[#This Row],[Verkehrsmittel]]="Flug", IF(AND(Tabelle27[[#This Row],[Entfernung (km) einfach]]&gt;10000),Tabelle27[[#This Row],[Entfernung (km) gesamt]]), 0)*Tabelle27[[#This Row],[Anzahl Studierende ]]</f>
        <v>0</v>
      </c>
      <c r="T24" s="8">
        <f>IF(Tabelle27[[#This Row],[Verkehrsmittel]]="Motorrad",Tabelle27[[#This Row],[Entfernung (km) gesamt]],0)*Tabelle27[[#This Row],[Anzahl Studierende ]]</f>
        <v>0</v>
      </c>
      <c r="U24" s="8">
        <f>IF(Tabelle27[[#This Row],[Verkehrsmittel]]="Straßen-, S-, U-Bahn",Tabelle27[[#This Row],[Entfernung (km) gesamt]],0)*Tabelle27[[#This Row],[Anzahl Studierende ]]</f>
        <v>0</v>
      </c>
      <c r="V24" s="8">
        <f>IF(Tabelle27[[#This Row],[Verkehrsmittel]]="Fahrrad",Tabelle27[[#This Row],[Entfernung (km) gesamt]],0)*Tabelle27[[#This Row],[Anzahl Studierende ]]</f>
        <v>0</v>
      </c>
    </row>
    <row r="25" spans="1:22" s="8" customFormat="1">
      <c r="B25" s="138"/>
      <c r="C25" s="139"/>
      <c r="D25" s="160"/>
      <c r="E25" s="111"/>
      <c r="F25" s="111"/>
      <c r="G25" s="111"/>
      <c r="H25" s="111">
        <f>Tabelle27[[#This Row],[Entfernung (km) einfach]]*2</f>
        <v>0</v>
      </c>
      <c r="I25" s="111"/>
      <c r="J25" s="140"/>
      <c r="K25" s="8">
        <f>IF(Tabelle27[[#This Row],[Verkehrsmittel]]="Bus",Tabelle27[[#This Row],[Entfernung (km) gesamt]],0)*Tabelle27[[#This Row],[Anzahl Studierende ]]</f>
        <v>0</v>
      </c>
      <c r="L25" s="8">
        <f>IF(Tabelle27[[#This Row],[Verkehrsmittel]]="Bahn",Tabelle27[[#This Row],[Anzahl Studierende ]]*Tabelle27[[#This Row],[Entfernung (km) gesamt]],0)</f>
        <v>0</v>
      </c>
      <c r="M25" s="8">
        <f>IF(Tabelle27[[#This Row],[Verkehrsmittel]]="PKW",Tabelle27[[#This Row],[Anzahl Studierende ]]*Tabelle27[[#This Row],[Entfernung (km) gesamt]],0)</f>
        <v>0</v>
      </c>
      <c r="N25" s="8">
        <f>IF(Tabelle27[[#This Row],[Verkehrsmittel]]="Flug", IF(AND(Tabelle27[[#This Row],[Entfernung (km) einfach]]&lt;500),Tabelle27[[#This Row],[Entfernung (km) gesamt]]), 0)*Tabelle27[[#This Row],[Anzahl Studierende ]]</f>
        <v>0</v>
      </c>
      <c r="O25" s="8">
        <f>IF(Tabelle27[[#This Row],[Verkehrsmittel]]="Flug", IF(AND(Tabelle27[[#This Row],[Entfernung (km) einfach]]&gt;500,Tabelle27[[#This Row],[Entfernung (km) einfach]]&lt;1000),Tabelle27[[#This Row],[Entfernung (km) gesamt]], 0), 0)*Tabelle27[[#This Row],[Anzahl Studierende ]]</f>
        <v>0</v>
      </c>
      <c r="P25" s="8">
        <f>IF(Tabelle27[[#This Row],[Verkehrsmittel]]="Flug", IF(AND(Tabelle27[[#This Row],[Entfernung (km) einfach]]&gt;1000,Tabelle27[[#This Row],[Entfernung (km) einfach]]&lt;2000),Tabelle27[[#This Row],[Entfernung (km) gesamt]], 0), 0)*Tabelle27[[#This Row],[Anzahl Studierende ]]</f>
        <v>0</v>
      </c>
      <c r="Q25" s="8">
        <f>IF(Tabelle27[[#This Row],[Verkehrsmittel]]="Flug", IF(AND(Tabelle27[[#This Row],[Entfernung (km) einfach]]&gt;2000,Tabelle27[[#This Row],[Entfernung (km) einfach]]&lt;5000),Tabelle27[[#This Row],[Entfernung (km) gesamt]], 0), 0)*Tabelle27[[#This Row],[Anzahl Studierende ]]</f>
        <v>0</v>
      </c>
      <c r="R25" s="8">
        <f>IF(Tabelle27[[#This Row],[Verkehrsmittel]]="Flug", IF(AND(Tabelle27[[#This Row],[Entfernung (km) einfach]]&gt;5000,Tabelle27[[#This Row],[Entfernung (km) einfach]]&lt;10000),Tabelle27[[#This Row],[Entfernung (km) gesamt]], 0), 0)*Tabelle27[[#This Row],[Anzahl Studierende ]]</f>
        <v>0</v>
      </c>
      <c r="S25" s="8">
        <f>IF(Tabelle27[[#This Row],[Verkehrsmittel]]="Flug", IF(AND(Tabelle27[[#This Row],[Entfernung (km) einfach]]&gt;10000),Tabelle27[[#This Row],[Entfernung (km) gesamt]]), 0)*Tabelle27[[#This Row],[Anzahl Studierende ]]</f>
        <v>0</v>
      </c>
      <c r="T25" s="8">
        <f>IF(Tabelle27[[#This Row],[Verkehrsmittel]]="Motorrad",Tabelle27[[#This Row],[Entfernung (km) gesamt]],0)*Tabelle27[[#This Row],[Anzahl Studierende ]]</f>
        <v>0</v>
      </c>
      <c r="U25" s="8">
        <f>IF(Tabelle27[[#This Row],[Verkehrsmittel]]="Straßen-, S-, U-Bahn",Tabelle27[[#This Row],[Entfernung (km) gesamt]],0)*Tabelle27[[#This Row],[Anzahl Studierende ]]</f>
        <v>0</v>
      </c>
      <c r="V25" s="8">
        <f>IF(Tabelle27[[#This Row],[Verkehrsmittel]]="Fahrrad",Tabelle27[[#This Row],[Entfernung (km) gesamt]],0)*Tabelle27[[#This Row],[Anzahl Studierende ]]</f>
        <v>0</v>
      </c>
    </row>
    <row r="26" spans="1:22" s="8" customFormat="1">
      <c r="B26" s="138"/>
      <c r="C26" s="139"/>
      <c r="D26" s="160"/>
      <c r="E26" s="111"/>
      <c r="F26" s="111"/>
      <c r="G26" s="111"/>
      <c r="H26" s="111">
        <f>Tabelle27[[#This Row],[Entfernung (km) einfach]]*2</f>
        <v>0</v>
      </c>
      <c r="I26" s="111"/>
      <c r="J26" s="140"/>
      <c r="K26" s="8">
        <f>IF(Tabelle27[[#This Row],[Verkehrsmittel]]="Bus",Tabelle27[[#This Row],[Entfernung (km) gesamt]],0)*Tabelle27[[#This Row],[Anzahl Studierende ]]</f>
        <v>0</v>
      </c>
      <c r="L26" s="8">
        <f>IF(Tabelle27[[#This Row],[Verkehrsmittel]]="Bahn",Tabelle27[[#This Row],[Anzahl Studierende ]]*Tabelle27[[#This Row],[Entfernung (km) gesamt]],0)</f>
        <v>0</v>
      </c>
      <c r="M26" s="8">
        <f>IF(Tabelle27[[#This Row],[Verkehrsmittel]]="PKW",Tabelle27[[#This Row],[Anzahl Studierende ]]*Tabelle27[[#This Row],[Entfernung (km) gesamt]],0)</f>
        <v>0</v>
      </c>
      <c r="N26" s="8">
        <f>IF(Tabelle27[[#This Row],[Verkehrsmittel]]="Flug", IF(AND(Tabelle27[[#This Row],[Entfernung (km) einfach]]&lt;500),Tabelle27[[#This Row],[Entfernung (km) gesamt]]), 0)*Tabelle27[[#This Row],[Anzahl Studierende ]]</f>
        <v>0</v>
      </c>
      <c r="O26" s="8">
        <f>IF(Tabelle27[[#This Row],[Verkehrsmittel]]="Flug", IF(AND(Tabelle27[[#This Row],[Entfernung (km) einfach]]&gt;500,Tabelle27[[#This Row],[Entfernung (km) einfach]]&lt;1000),Tabelle27[[#This Row],[Entfernung (km) gesamt]], 0), 0)*Tabelle27[[#This Row],[Anzahl Studierende ]]</f>
        <v>0</v>
      </c>
      <c r="P26" s="8">
        <f>IF(Tabelle27[[#This Row],[Verkehrsmittel]]="Flug", IF(AND(Tabelle27[[#This Row],[Entfernung (km) einfach]]&gt;1000,Tabelle27[[#This Row],[Entfernung (km) einfach]]&lt;2000),Tabelle27[[#This Row],[Entfernung (km) gesamt]], 0), 0)*Tabelle27[[#This Row],[Anzahl Studierende ]]</f>
        <v>0</v>
      </c>
      <c r="Q26" s="8">
        <f>IF(Tabelle27[[#This Row],[Verkehrsmittel]]="Flug", IF(AND(Tabelle27[[#This Row],[Entfernung (km) einfach]]&gt;2000,Tabelle27[[#This Row],[Entfernung (km) einfach]]&lt;5000),Tabelle27[[#This Row],[Entfernung (km) gesamt]], 0), 0)*Tabelle27[[#This Row],[Anzahl Studierende ]]</f>
        <v>0</v>
      </c>
      <c r="R26" s="8">
        <f>IF(Tabelle27[[#This Row],[Verkehrsmittel]]="Flug", IF(AND(Tabelle27[[#This Row],[Entfernung (km) einfach]]&gt;5000,Tabelle27[[#This Row],[Entfernung (km) einfach]]&lt;10000),Tabelle27[[#This Row],[Entfernung (km) gesamt]], 0), 0)*Tabelle27[[#This Row],[Anzahl Studierende ]]</f>
        <v>0</v>
      </c>
      <c r="S26" s="8">
        <f>IF(Tabelle27[[#This Row],[Verkehrsmittel]]="Flug", IF(AND(Tabelle27[[#This Row],[Entfernung (km) einfach]]&gt;10000),Tabelle27[[#This Row],[Entfernung (km) gesamt]]), 0)*Tabelle27[[#This Row],[Anzahl Studierende ]]</f>
        <v>0</v>
      </c>
      <c r="T26" s="8">
        <f>IF(Tabelle27[[#This Row],[Verkehrsmittel]]="Motorrad",Tabelle27[[#This Row],[Entfernung (km) gesamt]],0)*Tabelle27[[#This Row],[Anzahl Studierende ]]</f>
        <v>0</v>
      </c>
      <c r="U26" s="8">
        <f>IF(Tabelle27[[#This Row],[Verkehrsmittel]]="Straßen-, S-, U-Bahn",Tabelle27[[#This Row],[Entfernung (km) gesamt]],0)*Tabelle27[[#This Row],[Anzahl Studierende ]]</f>
        <v>0</v>
      </c>
      <c r="V26" s="8">
        <f>IF(Tabelle27[[#This Row],[Verkehrsmittel]]="Fahrrad",Tabelle27[[#This Row],[Entfernung (km) gesamt]],0)*Tabelle27[[#This Row],[Anzahl Studierende ]]</f>
        <v>0</v>
      </c>
    </row>
    <row r="27" spans="1:22" s="8" customFormat="1">
      <c r="B27" s="138"/>
      <c r="C27" s="139"/>
      <c r="D27" s="160"/>
      <c r="E27" s="111"/>
      <c r="F27" s="111"/>
      <c r="G27" s="111"/>
      <c r="H27" s="111">
        <f>Tabelle27[[#This Row],[Entfernung (km) einfach]]*2</f>
        <v>0</v>
      </c>
      <c r="I27" s="111"/>
      <c r="J27" s="140"/>
      <c r="K27" s="8">
        <f>IF(Tabelle27[[#This Row],[Verkehrsmittel]]="Bus",Tabelle27[[#This Row],[Entfernung (km) gesamt]],0)*Tabelle27[[#This Row],[Anzahl Studierende ]]</f>
        <v>0</v>
      </c>
      <c r="L27" s="8">
        <f>IF(Tabelle27[[#This Row],[Verkehrsmittel]]="Bahn",Tabelle27[[#This Row],[Anzahl Studierende ]]*Tabelle27[[#This Row],[Entfernung (km) gesamt]],0)</f>
        <v>0</v>
      </c>
      <c r="M27" s="8">
        <f>IF(Tabelle27[[#This Row],[Verkehrsmittel]]="PKW",Tabelle27[[#This Row],[Anzahl Studierende ]]*Tabelle27[[#This Row],[Entfernung (km) gesamt]],0)</f>
        <v>0</v>
      </c>
      <c r="N27" s="8">
        <f>IF(Tabelle27[[#This Row],[Verkehrsmittel]]="Flug", IF(AND(Tabelle27[[#This Row],[Entfernung (km) einfach]]&lt;500),Tabelle27[[#This Row],[Entfernung (km) gesamt]]), 0)*Tabelle27[[#This Row],[Anzahl Studierende ]]</f>
        <v>0</v>
      </c>
      <c r="O27" s="8">
        <f>IF(Tabelle27[[#This Row],[Verkehrsmittel]]="Flug", IF(AND(Tabelle27[[#This Row],[Entfernung (km) einfach]]&gt;500,Tabelle27[[#This Row],[Entfernung (km) einfach]]&lt;1000),Tabelle27[[#This Row],[Entfernung (km) gesamt]], 0), 0)*Tabelle27[[#This Row],[Anzahl Studierende ]]</f>
        <v>0</v>
      </c>
      <c r="P27" s="8">
        <f>IF(Tabelle27[[#This Row],[Verkehrsmittel]]="Flug", IF(AND(Tabelle27[[#This Row],[Entfernung (km) einfach]]&gt;1000,Tabelle27[[#This Row],[Entfernung (km) einfach]]&lt;2000),Tabelle27[[#This Row],[Entfernung (km) gesamt]], 0), 0)*Tabelle27[[#This Row],[Anzahl Studierende ]]</f>
        <v>0</v>
      </c>
      <c r="Q27" s="8">
        <f>IF(Tabelle27[[#This Row],[Verkehrsmittel]]="Flug", IF(AND(Tabelle27[[#This Row],[Entfernung (km) einfach]]&gt;2000,Tabelle27[[#This Row],[Entfernung (km) einfach]]&lt;5000),Tabelle27[[#This Row],[Entfernung (km) gesamt]], 0), 0)*Tabelle27[[#This Row],[Anzahl Studierende ]]</f>
        <v>0</v>
      </c>
      <c r="R27" s="8">
        <f>IF(Tabelle27[[#This Row],[Verkehrsmittel]]="Flug", IF(AND(Tabelle27[[#This Row],[Entfernung (km) einfach]]&gt;5000,Tabelle27[[#This Row],[Entfernung (km) einfach]]&lt;10000),Tabelle27[[#This Row],[Entfernung (km) gesamt]], 0), 0)*Tabelle27[[#This Row],[Anzahl Studierende ]]</f>
        <v>0</v>
      </c>
      <c r="S27" s="8">
        <f>IF(Tabelle27[[#This Row],[Verkehrsmittel]]="Flug", IF(AND(Tabelle27[[#This Row],[Entfernung (km) einfach]]&gt;10000),Tabelle27[[#This Row],[Entfernung (km) gesamt]]), 0)*Tabelle27[[#This Row],[Anzahl Studierende ]]</f>
        <v>0</v>
      </c>
      <c r="T27" s="8">
        <f>IF(Tabelle27[[#This Row],[Verkehrsmittel]]="Motorrad",Tabelle27[[#This Row],[Entfernung (km) gesamt]],0)*Tabelle27[[#This Row],[Anzahl Studierende ]]</f>
        <v>0</v>
      </c>
      <c r="U27" s="8">
        <f>IF(Tabelle27[[#This Row],[Verkehrsmittel]]="Straßen-, S-, U-Bahn",Tabelle27[[#This Row],[Entfernung (km) gesamt]],0)*Tabelle27[[#This Row],[Anzahl Studierende ]]</f>
        <v>0</v>
      </c>
      <c r="V27" s="8">
        <f>IF(Tabelle27[[#This Row],[Verkehrsmittel]]="Fahrrad",Tabelle27[[#This Row],[Entfernung (km) gesamt]],0)*Tabelle27[[#This Row],[Anzahl Studierende ]]</f>
        <v>0</v>
      </c>
    </row>
    <row r="28" spans="1:22" s="8" customFormat="1">
      <c r="B28" s="138"/>
      <c r="C28" s="139"/>
      <c r="D28" s="160"/>
      <c r="E28" s="111"/>
      <c r="F28" s="111"/>
      <c r="G28" s="111"/>
      <c r="H28" s="111">
        <f>Tabelle27[[#This Row],[Entfernung (km) einfach]]*2</f>
        <v>0</v>
      </c>
      <c r="I28" s="111"/>
      <c r="J28" s="140"/>
      <c r="K28" s="8">
        <f>IF(Tabelle27[[#This Row],[Verkehrsmittel]]="Bus",Tabelle27[[#This Row],[Entfernung (km) gesamt]],0)*Tabelle27[[#This Row],[Anzahl Studierende ]]</f>
        <v>0</v>
      </c>
      <c r="L28" s="8">
        <f>IF(Tabelle27[[#This Row],[Verkehrsmittel]]="Bahn",Tabelle27[[#This Row],[Anzahl Studierende ]]*Tabelle27[[#This Row],[Entfernung (km) gesamt]],0)</f>
        <v>0</v>
      </c>
      <c r="M28" s="8">
        <f>IF(Tabelle27[[#This Row],[Verkehrsmittel]]="PKW",Tabelle27[[#This Row],[Anzahl Studierende ]]*Tabelle27[[#This Row],[Entfernung (km) gesamt]],0)</f>
        <v>0</v>
      </c>
      <c r="N28" s="8">
        <f>IF(Tabelle27[[#This Row],[Verkehrsmittel]]="Flug", IF(AND(Tabelle27[[#This Row],[Entfernung (km) einfach]]&lt;500),Tabelle27[[#This Row],[Entfernung (km) gesamt]]), 0)*Tabelle27[[#This Row],[Anzahl Studierende ]]</f>
        <v>0</v>
      </c>
      <c r="O28" s="8">
        <f>IF(Tabelle27[[#This Row],[Verkehrsmittel]]="Flug", IF(AND(Tabelle27[[#This Row],[Entfernung (km) einfach]]&gt;500,Tabelle27[[#This Row],[Entfernung (km) einfach]]&lt;1000),Tabelle27[[#This Row],[Entfernung (km) gesamt]], 0), 0)*Tabelle27[[#This Row],[Anzahl Studierende ]]</f>
        <v>0</v>
      </c>
      <c r="P28" s="8">
        <f>IF(Tabelle27[[#This Row],[Verkehrsmittel]]="Flug", IF(AND(Tabelle27[[#This Row],[Entfernung (km) einfach]]&gt;1000,Tabelle27[[#This Row],[Entfernung (km) einfach]]&lt;2000),Tabelle27[[#This Row],[Entfernung (km) gesamt]], 0), 0)*Tabelle27[[#This Row],[Anzahl Studierende ]]</f>
        <v>0</v>
      </c>
      <c r="Q28" s="8">
        <f>IF(Tabelle27[[#This Row],[Verkehrsmittel]]="Flug", IF(AND(Tabelle27[[#This Row],[Entfernung (km) einfach]]&gt;2000,Tabelle27[[#This Row],[Entfernung (km) einfach]]&lt;5000),Tabelle27[[#This Row],[Entfernung (km) gesamt]], 0), 0)*Tabelle27[[#This Row],[Anzahl Studierende ]]</f>
        <v>0</v>
      </c>
      <c r="R28" s="8">
        <f>IF(Tabelle27[[#This Row],[Verkehrsmittel]]="Flug", IF(AND(Tabelle27[[#This Row],[Entfernung (km) einfach]]&gt;5000,Tabelle27[[#This Row],[Entfernung (km) einfach]]&lt;10000),Tabelle27[[#This Row],[Entfernung (km) gesamt]], 0), 0)*Tabelle27[[#This Row],[Anzahl Studierende ]]</f>
        <v>0</v>
      </c>
      <c r="S28" s="8">
        <f>IF(Tabelle27[[#This Row],[Verkehrsmittel]]="Flug", IF(AND(Tabelle27[[#This Row],[Entfernung (km) einfach]]&gt;10000),Tabelle27[[#This Row],[Entfernung (km) gesamt]]), 0)*Tabelle27[[#This Row],[Anzahl Studierende ]]</f>
        <v>0</v>
      </c>
      <c r="T28" s="8">
        <f>IF(Tabelle27[[#This Row],[Verkehrsmittel]]="Motorrad",Tabelle27[[#This Row],[Entfernung (km) gesamt]],0)*Tabelle27[[#This Row],[Anzahl Studierende ]]</f>
        <v>0</v>
      </c>
      <c r="U28" s="8">
        <f>IF(Tabelle27[[#This Row],[Verkehrsmittel]]="Straßen-, S-, U-Bahn",Tabelle27[[#This Row],[Entfernung (km) gesamt]],0)*Tabelle27[[#This Row],[Anzahl Studierende ]]</f>
        <v>0</v>
      </c>
      <c r="V28" s="8">
        <f>IF(Tabelle27[[#This Row],[Verkehrsmittel]]="Fahrrad",Tabelle27[[#This Row],[Entfernung (km) gesamt]],0)*Tabelle27[[#This Row],[Anzahl Studierende ]]</f>
        <v>0</v>
      </c>
    </row>
    <row r="29" spans="1:22" s="8" customFormat="1">
      <c r="B29" s="138"/>
      <c r="C29" s="139"/>
      <c r="D29" s="160"/>
      <c r="E29" s="111"/>
      <c r="F29" s="111"/>
      <c r="G29" s="111"/>
      <c r="H29" s="111">
        <f>Tabelle27[[#This Row],[Entfernung (km) einfach]]*2</f>
        <v>0</v>
      </c>
      <c r="I29" s="111"/>
      <c r="J29" s="140"/>
      <c r="K29" s="8">
        <f>IF(Tabelle27[[#This Row],[Verkehrsmittel]]="Bus",Tabelle27[[#This Row],[Entfernung (km) gesamt]],0)*Tabelle27[[#This Row],[Anzahl Studierende ]]</f>
        <v>0</v>
      </c>
      <c r="L29" s="8">
        <f>IF(Tabelle27[[#This Row],[Verkehrsmittel]]="Bahn",Tabelle27[[#This Row],[Anzahl Studierende ]]*Tabelle27[[#This Row],[Entfernung (km) gesamt]],0)</f>
        <v>0</v>
      </c>
      <c r="M29" s="8">
        <f>IF(Tabelle27[[#This Row],[Verkehrsmittel]]="PKW",Tabelle27[[#This Row],[Anzahl Studierende ]]*Tabelle27[[#This Row],[Entfernung (km) gesamt]],0)</f>
        <v>0</v>
      </c>
      <c r="N29" s="8">
        <f>IF(Tabelle27[[#This Row],[Verkehrsmittel]]="Flug", IF(AND(Tabelle27[[#This Row],[Entfernung (km) einfach]]&lt;500),Tabelle27[[#This Row],[Entfernung (km) gesamt]]), 0)*Tabelle27[[#This Row],[Anzahl Studierende ]]</f>
        <v>0</v>
      </c>
      <c r="O29" s="8">
        <f>IF(Tabelle27[[#This Row],[Verkehrsmittel]]="Flug", IF(AND(Tabelle27[[#This Row],[Entfernung (km) einfach]]&gt;500,Tabelle27[[#This Row],[Entfernung (km) einfach]]&lt;1000),Tabelle27[[#This Row],[Entfernung (km) gesamt]], 0), 0)*Tabelle27[[#This Row],[Anzahl Studierende ]]</f>
        <v>0</v>
      </c>
      <c r="P29" s="8">
        <f>IF(Tabelle27[[#This Row],[Verkehrsmittel]]="Flug", IF(AND(Tabelle27[[#This Row],[Entfernung (km) einfach]]&gt;1000,Tabelle27[[#This Row],[Entfernung (km) einfach]]&lt;2000),Tabelle27[[#This Row],[Entfernung (km) gesamt]], 0), 0)*Tabelle27[[#This Row],[Anzahl Studierende ]]</f>
        <v>0</v>
      </c>
      <c r="Q29" s="8">
        <f>IF(Tabelle27[[#This Row],[Verkehrsmittel]]="Flug", IF(AND(Tabelle27[[#This Row],[Entfernung (km) einfach]]&gt;2000,Tabelle27[[#This Row],[Entfernung (km) einfach]]&lt;5000),Tabelle27[[#This Row],[Entfernung (km) gesamt]], 0), 0)*Tabelle27[[#This Row],[Anzahl Studierende ]]</f>
        <v>0</v>
      </c>
      <c r="R29" s="8">
        <f>IF(Tabelle27[[#This Row],[Verkehrsmittel]]="Flug", IF(AND(Tabelle27[[#This Row],[Entfernung (km) einfach]]&gt;5000,Tabelle27[[#This Row],[Entfernung (km) einfach]]&lt;10000),Tabelle27[[#This Row],[Entfernung (km) gesamt]], 0), 0)*Tabelle27[[#This Row],[Anzahl Studierende ]]</f>
        <v>0</v>
      </c>
      <c r="S29" s="8">
        <f>IF(Tabelle27[[#This Row],[Verkehrsmittel]]="Flug", IF(AND(Tabelle27[[#This Row],[Entfernung (km) einfach]]&gt;10000),Tabelle27[[#This Row],[Entfernung (km) gesamt]]), 0)*Tabelle27[[#This Row],[Anzahl Studierende ]]</f>
        <v>0</v>
      </c>
      <c r="T29" s="8">
        <f>IF(Tabelle27[[#This Row],[Verkehrsmittel]]="Motorrad",Tabelle27[[#This Row],[Entfernung (km) gesamt]],0)*Tabelle27[[#This Row],[Anzahl Studierende ]]</f>
        <v>0</v>
      </c>
      <c r="U29" s="8">
        <f>IF(Tabelle27[[#This Row],[Verkehrsmittel]]="Straßen-, S-, U-Bahn",Tabelle27[[#This Row],[Entfernung (km) gesamt]],0)*Tabelle27[[#This Row],[Anzahl Studierende ]]</f>
        <v>0</v>
      </c>
      <c r="V29" s="8">
        <f>IF(Tabelle27[[#This Row],[Verkehrsmittel]]="Fahrrad",Tabelle27[[#This Row],[Entfernung (km) gesamt]],0)*Tabelle27[[#This Row],[Anzahl Studierende ]]</f>
        <v>0</v>
      </c>
    </row>
    <row r="30" spans="1:22" s="8" customFormat="1">
      <c r="B30" s="138"/>
      <c r="C30" s="139"/>
      <c r="D30" s="160"/>
      <c r="E30" s="111"/>
      <c r="F30" s="111"/>
      <c r="G30" s="111"/>
      <c r="H30" s="111">
        <f>Tabelle27[[#This Row],[Entfernung (km) einfach]]*2</f>
        <v>0</v>
      </c>
      <c r="I30" s="111"/>
      <c r="J30" s="140"/>
      <c r="K30" s="8">
        <f>IF(Tabelle27[[#This Row],[Verkehrsmittel]]="Bus",Tabelle27[[#This Row],[Entfernung (km) gesamt]],0)*Tabelle27[[#This Row],[Anzahl Studierende ]]</f>
        <v>0</v>
      </c>
      <c r="L30" s="8">
        <f>IF(Tabelle27[[#This Row],[Verkehrsmittel]]="Bahn",Tabelle27[[#This Row],[Anzahl Studierende ]]*Tabelle27[[#This Row],[Entfernung (km) gesamt]],0)</f>
        <v>0</v>
      </c>
      <c r="M30" s="8">
        <f>IF(Tabelle27[[#This Row],[Verkehrsmittel]]="PKW",Tabelle27[[#This Row],[Anzahl Studierende ]]*Tabelle27[[#This Row],[Entfernung (km) gesamt]],0)</f>
        <v>0</v>
      </c>
      <c r="N30" s="8">
        <f>IF(Tabelle27[[#This Row],[Verkehrsmittel]]="Flug", IF(AND(Tabelle27[[#This Row],[Entfernung (km) einfach]]&lt;500),Tabelle27[[#This Row],[Entfernung (km) gesamt]]), 0)*Tabelle27[[#This Row],[Anzahl Studierende ]]</f>
        <v>0</v>
      </c>
      <c r="O30" s="8">
        <f>IF(Tabelle27[[#This Row],[Verkehrsmittel]]="Flug", IF(AND(Tabelle27[[#This Row],[Entfernung (km) einfach]]&gt;500,Tabelle27[[#This Row],[Entfernung (km) einfach]]&lt;1000),Tabelle27[[#This Row],[Entfernung (km) gesamt]], 0), 0)*Tabelle27[[#This Row],[Anzahl Studierende ]]</f>
        <v>0</v>
      </c>
      <c r="P30" s="8">
        <f>IF(Tabelle27[[#This Row],[Verkehrsmittel]]="Flug", IF(AND(Tabelle27[[#This Row],[Entfernung (km) einfach]]&gt;1000,Tabelle27[[#This Row],[Entfernung (km) einfach]]&lt;2000),Tabelle27[[#This Row],[Entfernung (km) gesamt]], 0), 0)*Tabelle27[[#This Row],[Anzahl Studierende ]]</f>
        <v>0</v>
      </c>
      <c r="Q30" s="8">
        <f>IF(Tabelle27[[#This Row],[Verkehrsmittel]]="Flug", IF(AND(Tabelle27[[#This Row],[Entfernung (km) einfach]]&gt;2000,Tabelle27[[#This Row],[Entfernung (km) einfach]]&lt;5000),Tabelle27[[#This Row],[Entfernung (km) gesamt]], 0), 0)*Tabelle27[[#This Row],[Anzahl Studierende ]]</f>
        <v>0</v>
      </c>
      <c r="R30" s="8">
        <f>IF(Tabelle27[[#This Row],[Verkehrsmittel]]="Flug", IF(AND(Tabelle27[[#This Row],[Entfernung (km) einfach]]&gt;5000,Tabelle27[[#This Row],[Entfernung (km) einfach]]&lt;10000),Tabelle27[[#This Row],[Entfernung (km) gesamt]], 0), 0)*Tabelle27[[#This Row],[Anzahl Studierende ]]</f>
        <v>0</v>
      </c>
      <c r="S30" s="8">
        <f>IF(Tabelle27[[#This Row],[Verkehrsmittel]]="Flug", IF(AND(Tabelle27[[#This Row],[Entfernung (km) einfach]]&gt;10000),Tabelle27[[#This Row],[Entfernung (km) gesamt]]), 0)*Tabelle27[[#This Row],[Anzahl Studierende ]]</f>
        <v>0</v>
      </c>
      <c r="T30" s="8">
        <f>IF(Tabelle27[[#This Row],[Verkehrsmittel]]="Motorrad",Tabelle27[[#This Row],[Entfernung (km) gesamt]],0)*Tabelle27[[#This Row],[Anzahl Studierende ]]</f>
        <v>0</v>
      </c>
      <c r="U30" s="8">
        <f>IF(Tabelle27[[#This Row],[Verkehrsmittel]]="Straßen-, S-, U-Bahn",Tabelle27[[#This Row],[Entfernung (km) gesamt]],0)*Tabelle27[[#This Row],[Anzahl Studierende ]]</f>
        <v>0</v>
      </c>
      <c r="V30" s="8">
        <f>IF(Tabelle27[[#This Row],[Verkehrsmittel]]="Fahrrad",Tabelle27[[#This Row],[Entfernung (km) gesamt]],0)*Tabelle27[[#This Row],[Anzahl Studierende ]]</f>
        <v>0</v>
      </c>
    </row>
    <row r="31" spans="1:22" s="8" customFormat="1">
      <c r="B31" s="138"/>
      <c r="C31" s="139"/>
      <c r="D31" s="160"/>
      <c r="E31" s="111"/>
      <c r="F31" s="111"/>
      <c r="G31" s="111"/>
      <c r="H31" s="111">
        <f>Tabelle27[[#This Row],[Entfernung (km) einfach]]*2</f>
        <v>0</v>
      </c>
      <c r="I31" s="111"/>
      <c r="J31" s="140"/>
      <c r="K31" s="8">
        <f>IF(Tabelle27[[#This Row],[Verkehrsmittel]]="Bus",Tabelle27[[#This Row],[Entfernung (km) gesamt]],0)*Tabelle27[[#This Row],[Anzahl Studierende ]]</f>
        <v>0</v>
      </c>
      <c r="L31" s="8">
        <f>IF(Tabelle27[[#This Row],[Verkehrsmittel]]="Bahn",Tabelle27[[#This Row],[Anzahl Studierende ]]*Tabelle27[[#This Row],[Entfernung (km) gesamt]],0)</f>
        <v>0</v>
      </c>
      <c r="M31" s="8">
        <f>IF(Tabelle27[[#This Row],[Verkehrsmittel]]="PKW",Tabelle27[[#This Row],[Anzahl Studierende ]]*Tabelle27[[#This Row],[Entfernung (km) gesamt]],0)</f>
        <v>0</v>
      </c>
      <c r="N31" s="8">
        <f>IF(Tabelle27[[#This Row],[Verkehrsmittel]]="Flug", IF(AND(Tabelle27[[#This Row],[Entfernung (km) einfach]]&lt;500),Tabelle27[[#This Row],[Entfernung (km) gesamt]]), 0)*Tabelle27[[#This Row],[Anzahl Studierende ]]</f>
        <v>0</v>
      </c>
      <c r="O31" s="8">
        <f>IF(Tabelle27[[#This Row],[Verkehrsmittel]]="Flug", IF(AND(Tabelle27[[#This Row],[Entfernung (km) einfach]]&gt;500,Tabelle27[[#This Row],[Entfernung (km) einfach]]&lt;1000),Tabelle27[[#This Row],[Entfernung (km) gesamt]], 0), 0)*Tabelle27[[#This Row],[Anzahl Studierende ]]</f>
        <v>0</v>
      </c>
      <c r="P31" s="8">
        <f>IF(Tabelle27[[#This Row],[Verkehrsmittel]]="Flug", IF(AND(Tabelle27[[#This Row],[Entfernung (km) einfach]]&gt;1000,Tabelle27[[#This Row],[Entfernung (km) einfach]]&lt;2000),Tabelle27[[#This Row],[Entfernung (km) gesamt]], 0), 0)*Tabelle27[[#This Row],[Anzahl Studierende ]]</f>
        <v>0</v>
      </c>
      <c r="Q31" s="8">
        <f>IF(Tabelle27[[#This Row],[Verkehrsmittel]]="Flug", IF(AND(Tabelle27[[#This Row],[Entfernung (km) einfach]]&gt;2000,Tabelle27[[#This Row],[Entfernung (km) einfach]]&lt;5000),Tabelle27[[#This Row],[Entfernung (km) gesamt]], 0), 0)*Tabelle27[[#This Row],[Anzahl Studierende ]]</f>
        <v>0</v>
      </c>
      <c r="R31" s="8">
        <f>IF(Tabelle27[[#This Row],[Verkehrsmittel]]="Flug", IF(AND(Tabelle27[[#This Row],[Entfernung (km) einfach]]&gt;5000,Tabelle27[[#This Row],[Entfernung (km) einfach]]&lt;10000),Tabelle27[[#This Row],[Entfernung (km) gesamt]], 0), 0)*Tabelle27[[#This Row],[Anzahl Studierende ]]</f>
        <v>0</v>
      </c>
      <c r="S31" s="8">
        <f>IF(Tabelle27[[#This Row],[Verkehrsmittel]]="Flug", IF(AND(Tabelle27[[#This Row],[Entfernung (km) einfach]]&gt;10000),Tabelle27[[#This Row],[Entfernung (km) gesamt]]), 0)*Tabelle27[[#This Row],[Anzahl Studierende ]]</f>
        <v>0</v>
      </c>
      <c r="T31" s="8">
        <f>IF(Tabelle27[[#This Row],[Verkehrsmittel]]="Motorrad",Tabelle27[[#This Row],[Entfernung (km) gesamt]],0)*Tabelle27[[#This Row],[Anzahl Studierende ]]</f>
        <v>0</v>
      </c>
      <c r="U31" s="8">
        <f>IF(Tabelle27[[#This Row],[Verkehrsmittel]]="Straßen-, S-, U-Bahn",Tabelle27[[#This Row],[Entfernung (km) gesamt]],0)*Tabelle27[[#This Row],[Anzahl Studierende ]]</f>
        <v>0</v>
      </c>
      <c r="V31" s="8">
        <f>IF(Tabelle27[[#This Row],[Verkehrsmittel]]="Fahrrad",Tabelle27[[#This Row],[Entfernung (km) gesamt]],0)*Tabelle27[[#This Row],[Anzahl Studierende ]]</f>
        <v>0</v>
      </c>
    </row>
    <row r="32" spans="1:22" s="8" customFormat="1">
      <c r="B32" s="138"/>
      <c r="C32" s="139"/>
      <c r="D32" s="160"/>
      <c r="E32" s="111"/>
      <c r="F32" s="111"/>
      <c r="G32" s="111"/>
      <c r="H32" s="117">
        <f>Tabelle27[[#This Row],[Entfernung (km) einfach]]*2</f>
        <v>0</v>
      </c>
      <c r="I32" s="111"/>
      <c r="J32" s="140"/>
      <c r="K32" s="41">
        <f>IF(Tabelle27[[#This Row],[Verkehrsmittel]]="Bus",Tabelle27[[#This Row],[Entfernung (km) gesamt]],0)*Tabelle27[[#This Row],[Anzahl Studierende ]]</f>
        <v>0</v>
      </c>
      <c r="L32" s="41">
        <f>IF(Tabelle27[[#This Row],[Verkehrsmittel]]="Bahn",Tabelle27[[#This Row],[Anzahl Studierende ]]*Tabelle27[[#This Row],[Entfernung (km) gesamt]],0)</f>
        <v>0</v>
      </c>
      <c r="M32" s="41">
        <f>IF(Tabelle27[[#This Row],[Verkehrsmittel]]="PKW",Tabelle27[[#This Row],[Anzahl Studierende ]]*Tabelle27[[#This Row],[Entfernung (km) gesamt]],0)</f>
        <v>0</v>
      </c>
      <c r="N32" s="41">
        <f>IF(Tabelle27[[#This Row],[Verkehrsmittel]]="Flug", IF(AND(Tabelle27[[#This Row],[Entfernung (km) einfach]]&lt;500),Tabelle27[[#This Row],[Entfernung (km) gesamt]]), 0)*Tabelle27[[#This Row],[Anzahl Studierende ]]</f>
        <v>0</v>
      </c>
      <c r="O32" s="41">
        <f>IF(Tabelle27[[#This Row],[Verkehrsmittel]]="Flug", IF(AND(Tabelle27[[#This Row],[Entfernung (km) einfach]]&gt;500,Tabelle27[[#This Row],[Entfernung (km) einfach]]&lt;1000),Tabelle27[[#This Row],[Entfernung (km) gesamt]], 0), 0)*Tabelle27[[#This Row],[Anzahl Studierende ]]</f>
        <v>0</v>
      </c>
      <c r="P32" s="41">
        <f>IF(Tabelle27[[#This Row],[Verkehrsmittel]]="Flug", IF(AND(Tabelle27[[#This Row],[Entfernung (km) einfach]]&gt;1000,Tabelle27[[#This Row],[Entfernung (km) einfach]]&lt;2000),Tabelle27[[#This Row],[Entfernung (km) gesamt]], 0), 0)*Tabelle27[[#This Row],[Anzahl Studierende ]]</f>
        <v>0</v>
      </c>
      <c r="Q32" s="41">
        <f>IF(Tabelle27[[#This Row],[Verkehrsmittel]]="Flug", IF(AND(Tabelle27[[#This Row],[Entfernung (km) einfach]]&gt;2000,Tabelle27[[#This Row],[Entfernung (km) einfach]]&lt;5000),Tabelle27[[#This Row],[Entfernung (km) gesamt]], 0), 0)*Tabelle27[[#This Row],[Anzahl Studierende ]]</f>
        <v>0</v>
      </c>
      <c r="R32" s="41">
        <f>IF(Tabelle27[[#This Row],[Verkehrsmittel]]="Flug", IF(AND(Tabelle27[[#This Row],[Entfernung (km) einfach]]&gt;5000,Tabelle27[[#This Row],[Entfernung (km) einfach]]&lt;10000),Tabelle27[[#This Row],[Entfernung (km) gesamt]], 0), 0)*Tabelle27[[#This Row],[Anzahl Studierende ]]</f>
        <v>0</v>
      </c>
      <c r="S32" s="41">
        <f>IF(Tabelle27[[#This Row],[Verkehrsmittel]]="Flug", IF(AND(Tabelle27[[#This Row],[Entfernung (km) einfach]]&gt;10000),Tabelle27[[#This Row],[Entfernung (km) gesamt]]), 0)*Tabelle27[[#This Row],[Anzahl Studierende ]]</f>
        <v>0</v>
      </c>
      <c r="T32" s="41">
        <f>IF(Tabelle27[[#This Row],[Verkehrsmittel]]="Motorrad",Tabelle27[[#This Row],[Entfernung (km) gesamt]],0)*Tabelle27[[#This Row],[Anzahl Studierende ]]</f>
        <v>0</v>
      </c>
      <c r="U32" s="41">
        <f>IF(Tabelle27[[#This Row],[Verkehrsmittel]]="Straßen-, S-, U-Bahn",Tabelle27[[#This Row],[Entfernung (km) gesamt]],0)*Tabelle27[[#This Row],[Anzahl Studierende ]]</f>
        <v>0</v>
      </c>
      <c r="V32" s="41">
        <f>IF(Tabelle27[[#This Row],[Verkehrsmittel]]="Fahrrad",Tabelle27[[#This Row],[Entfernung (km) gesamt]],0)*Tabelle27[[#This Row],[Anzahl Studierende ]]</f>
        <v>0</v>
      </c>
    </row>
    <row r="33" spans="2:22" s="8" customFormat="1">
      <c r="B33" s="138"/>
      <c r="C33" s="139"/>
      <c r="D33" s="160"/>
      <c r="E33" s="111"/>
      <c r="F33" s="111"/>
      <c r="G33" s="111"/>
      <c r="H33" s="117">
        <f>Tabelle27[[#This Row],[Entfernung (km) einfach]]*2</f>
        <v>0</v>
      </c>
      <c r="I33" s="111"/>
      <c r="J33" s="140"/>
      <c r="K33" s="41">
        <f>IF(Tabelle27[[#This Row],[Verkehrsmittel]]="Bus",Tabelle27[[#This Row],[Entfernung (km) gesamt]],0)*Tabelle27[[#This Row],[Anzahl Studierende ]]</f>
        <v>0</v>
      </c>
      <c r="L33" s="41">
        <f>IF(Tabelle27[[#This Row],[Verkehrsmittel]]="Bahn",Tabelle27[[#This Row],[Anzahl Studierende ]]*Tabelle27[[#This Row],[Entfernung (km) gesamt]],0)</f>
        <v>0</v>
      </c>
      <c r="M33" s="41">
        <f>IF(Tabelle27[[#This Row],[Verkehrsmittel]]="PKW",Tabelle27[[#This Row],[Anzahl Studierende ]]*Tabelle27[[#This Row],[Entfernung (km) gesamt]],0)</f>
        <v>0</v>
      </c>
      <c r="N33" s="41">
        <f>IF(Tabelle27[[#This Row],[Verkehrsmittel]]="Flug", IF(AND(Tabelle27[[#This Row],[Entfernung (km) einfach]]&lt;500),Tabelle27[[#This Row],[Entfernung (km) gesamt]]), 0)*Tabelle27[[#This Row],[Anzahl Studierende ]]</f>
        <v>0</v>
      </c>
      <c r="O33" s="41">
        <f>IF(Tabelle27[[#This Row],[Verkehrsmittel]]="Flug", IF(AND(Tabelle27[[#This Row],[Entfernung (km) einfach]]&gt;500,Tabelle27[[#This Row],[Entfernung (km) einfach]]&lt;1000),Tabelle27[[#This Row],[Entfernung (km) gesamt]], 0), 0)*Tabelle27[[#This Row],[Anzahl Studierende ]]</f>
        <v>0</v>
      </c>
      <c r="P33" s="41">
        <f>IF(Tabelle27[[#This Row],[Verkehrsmittel]]="Flug", IF(AND(Tabelle27[[#This Row],[Entfernung (km) einfach]]&gt;1000,Tabelle27[[#This Row],[Entfernung (km) einfach]]&lt;2000),Tabelle27[[#This Row],[Entfernung (km) gesamt]], 0), 0)*Tabelle27[[#This Row],[Anzahl Studierende ]]</f>
        <v>0</v>
      </c>
      <c r="Q33" s="41">
        <f>IF(Tabelle27[[#This Row],[Verkehrsmittel]]="Flug", IF(AND(Tabelle27[[#This Row],[Entfernung (km) einfach]]&gt;2000,Tabelle27[[#This Row],[Entfernung (km) einfach]]&lt;5000),Tabelle27[[#This Row],[Entfernung (km) gesamt]], 0), 0)*Tabelle27[[#This Row],[Anzahl Studierende ]]</f>
        <v>0</v>
      </c>
      <c r="R33" s="41">
        <f>IF(Tabelle27[[#This Row],[Verkehrsmittel]]="Flug", IF(AND(Tabelle27[[#This Row],[Entfernung (km) einfach]]&gt;5000,Tabelle27[[#This Row],[Entfernung (km) einfach]]&lt;10000),Tabelle27[[#This Row],[Entfernung (km) gesamt]], 0), 0)*Tabelle27[[#This Row],[Anzahl Studierende ]]</f>
        <v>0</v>
      </c>
      <c r="S33" s="41">
        <f>IF(Tabelle27[[#This Row],[Verkehrsmittel]]="Flug", IF(AND(Tabelle27[[#This Row],[Entfernung (km) einfach]]&gt;10000),Tabelle27[[#This Row],[Entfernung (km) gesamt]]), 0)*Tabelle27[[#This Row],[Anzahl Studierende ]]</f>
        <v>0</v>
      </c>
      <c r="T33" s="41">
        <f>IF(Tabelle27[[#This Row],[Verkehrsmittel]]="Motorrad",Tabelle27[[#This Row],[Entfernung (km) gesamt]],0)*Tabelle27[[#This Row],[Anzahl Studierende ]]</f>
        <v>0</v>
      </c>
      <c r="U33" s="41">
        <f>IF(Tabelle27[[#This Row],[Verkehrsmittel]]="Straßen-, S-, U-Bahn",Tabelle27[[#This Row],[Entfernung (km) gesamt]],0)*Tabelle27[[#This Row],[Anzahl Studierende ]]</f>
        <v>0</v>
      </c>
      <c r="V33" s="41">
        <f>IF(Tabelle27[[#This Row],[Verkehrsmittel]]="Fahrrad",Tabelle27[[#This Row],[Entfernung (km) gesamt]],0)*Tabelle27[[#This Row],[Anzahl Studierende ]]</f>
        <v>0</v>
      </c>
    </row>
    <row r="34" spans="2:22" s="8" customFormat="1">
      <c r="B34" s="138"/>
      <c r="C34" s="139"/>
      <c r="D34" s="160"/>
      <c r="E34" s="111"/>
      <c r="F34" s="111"/>
      <c r="G34" s="111"/>
      <c r="H34" s="117">
        <f>Tabelle27[[#This Row],[Entfernung (km) einfach]]*2</f>
        <v>0</v>
      </c>
      <c r="I34" s="111"/>
      <c r="J34" s="140"/>
      <c r="K34" s="41">
        <f>IF(Tabelle27[[#This Row],[Verkehrsmittel]]="Bus",Tabelle27[[#This Row],[Entfernung (km) gesamt]],0)*Tabelle27[[#This Row],[Anzahl Studierende ]]</f>
        <v>0</v>
      </c>
      <c r="L34" s="41">
        <f>IF(Tabelle27[[#This Row],[Verkehrsmittel]]="Bahn",Tabelle27[[#This Row],[Anzahl Studierende ]]*Tabelle27[[#This Row],[Entfernung (km) gesamt]],0)</f>
        <v>0</v>
      </c>
      <c r="M34" s="41">
        <f>IF(Tabelle27[[#This Row],[Verkehrsmittel]]="PKW",Tabelle27[[#This Row],[Anzahl Studierende ]]*Tabelle27[[#This Row],[Entfernung (km) gesamt]],0)</f>
        <v>0</v>
      </c>
      <c r="N34" s="41">
        <f>IF(Tabelle27[[#This Row],[Verkehrsmittel]]="Flug", IF(AND(Tabelle27[[#This Row],[Entfernung (km) einfach]]&lt;500),Tabelle27[[#This Row],[Entfernung (km) gesamt]]), 0)*Tabelle27[[#This Row],[Anzahl Studierende ]]</f>
        <v>0</v>
      </c>
      <c r="O34" s="41">
        <f>IF(Tabelle27[[#This Row],[Verkehrsmittel]]="Flug", IF(AND(Tabelle27[[#This Row],[Entfernung (km) einfach]]&gt;500,Tabelle27[[#This Row],[Entfernung (km) einfach]]&lt;1000),Tabelle27[[#This Row],[Entfernung (km) gesamt]], 0), 0)*Tabelle27[[#This Row],[Anzahl Studierende ]]</f>
        <v>0</v>
      </c>
      <c r="P34" s="41">
        <f>IF(Tabelle27[[#This Row],[Verkehrsmittel]]="Flug", IF(AND(Tabelle27[[#This Row],[Entfernung (km) einfach]]&gt;1000,Tabelle27[[#This Row],[Entfernung (km) einfach]]&lt;2000),Tabelle27[[#This Row],[Entfernung (km) gesamt]], 0), 0)*Tabelle27[[#This Row],[Anzahl Studierende ]]</f>
        <v>0</v>
      </c>
      <c r="Q34" s="41">
        <f>IF(Tabelle27[[#This Row],[Verkehrsmittel]]="Flug", IF(AND(Tabelle27[[#This Row],[Entfernung (km) einfach]]&gt;2000,Tabelle27[[#This Row],[Entfernung (km) einfach]]&lt;5000),Tabelle27[[#This Row],[Entfernung (km) gesamt]], 0), 0)*Tabelle27[[#This Row],[Anzahl Studierende ]]</f>
        <v>0</v>
      </c>
      <c r="R34" s="41">
        <f>IF(Tabelle27[[#This Row],[Verkehrsmittel]]="Flug", IF(AND(Tabelle27[[#This Row],[Entfernung (km) einfach]]&gt;5000,Tabelle27[[#This Row],[Entfernung (km) einfach]]&lt;10000),Tabelle27[[#This Row],[Entfernung (km) gesamt]], 0), 0)*Tabelle27[[#This Row],[Anzahl Studierende ]]</f>
        <v>0</v>
      </c>
      <c r="S34" s="41">
        <f>IF(Tabelle27[[#This Row],[Verkehrsmittel]]="Flug", IF(AND(Tabelle27[[#This Row],[Entfernung (km) einfach]]&gt;10000),Tabelle27[[#This Row],[Entfernung (km) gesamt]]), 0)*Tabelle27[[#This Row],[Anzahl Studierende ]]</f>
        <v>0</v>
      </c>
      <c r="T34" s="41">
        <f>IF(Tabelle27[[#This Row],[Verkehrsmittel]]="Motorrad",Tabelle27[[#This Row],[Entfernung (km) gesamt]],0)*Tabelle27[[#This Row],[Anzahl Studierende ]]</f>
        <v>0</v>
      </c>
      <c r="U34" s="41">
        <f>IF(Tabelle27[[#This Row],[Verkehrsmittel]]="Straßen-, S-, U-Bahn",Tabelle27[[#This Row],[Entfernung (km) gesamt]],0)*Tabelle27[[#This Row],[Anzahl Studierende ]]</f>
        <v>0</v>
      </c>
      <c r="V34" s="41">
        <f>IF(Tabelle27[[#This Row],[Verkehrsmittel]]="Fahrrad",Tabelle27[[#This Row],[Entfernung (km) gesamt]],0)*Tabelle27[[#This Row],[Anzahl Studierende ]]</f>
        <v>0</v>
      </c>
    </row>
    <row r="35" spans="2:22" s="8" customFormat="1">
      <c r="B35" s="138"/>
      <c r="C35" s="139"/>
      <c r="D35" s="160"/>
      <c r="E35" s="111"/>
      <c r="F35" s="111"/>
      <c r="G35" s="111"/>
      <c r="H35" s="117">
        <f>Tabelle27[[#This Row],[Entfernung (km) einfach]]*2</f>
        <v>0</v>
      </c>
      <c r="I35" s="111"/>
      <c r="J35" s="140"/>
      <c r="K35" s="41">
        <f>IF(Tabelle27[[#This Row],[Verkehrsmittel]]="Bus",Tabelle27[[#This Row],[Entfernung (km) gesamt]],0)*Tabelle27[[#This Row],[Anzahl Studierende ]]</f>
        <v>0</v>
      </c>
      <c r="L35" s="41">
        <f>IF(Tabelle27[[#This Row],[Verkehrsmittel]]="Bahn",Tabelle27[[#This Row],[Anzahl Studierende ]]*Tabelle27[[#This Row],[Entfernung (km) gesamt]],0)</f>
        <v>0</v>
      </c>
      <c r="M35" s="41">
        <f>IF(Tabelle27[[#This Row],[Verkehrsmittel]]="PKW",Tabelle27[[#This Row],[Anzahl Studierende ]]*Tabelle27[[#This Row],[Entfernung (km) gesamt]],0)</f>
        <v>0</v>
      </c>
      <c r="N35" s="41">
        <f>IF(Tabelle27[[#This Row],[Verkehrsmittel]]="Flug", IF(AND(Tabelle27[[#This Row],[Entfernung (km) einfach]]&lt;500),Tabelle27[[#This Row],[Entfernung (km) gesamt]]), 0)*Tabelle27[[#This Row],[Anzahl Studierende ]]</f>
        <v>0</v>
      </c>
      <c r="O35" s="41">
        <f>IF(Tabelle27[[#This Row],[Verkehrsmittel]]="Flug", IF(AND(Tabelle27[[#This Row],[Entfernung (km) einfach]]&gt;500,Tabelle27[[#This Row],[Entfernung (km) einfach]]&lt;1000),Tabelle27[[#This Row],[Entfernung (km) gesamt]], 0), 0)*Tabelle27[[#This Row],[Anzahl Studierende ]]</f>
        <v>0</v>
      </c>
      <c r="P35" s="41">
        <f>IF(Tabelle27[[#This Row],[Verkehrsmittel]]="Flug", IF(AND(Tabelle27[[#This Row],[Entfernung (km) einfach]]&gt;1000,Tabelle27[[#This Row],[Entfernung (km) einfach]]&lt;2000),Tabelle27[[#This Row],[Entfernung (km) gesamt]], 0), 0)*Tabelle27[[#This Row],[Anzahl Studierende ]]</f>
        <v>0</v>
      </c>
      <c r="Q35" s="41">
        <f>IF(Tabelle27[[#This Row],[Verkehrsmittel]]="Flug", IF(AND(Tabelle27[[#This Row],[Entfernung (km) einfach]]&gt;2000,Tabelle27[[#This Row],[Entfernung (km) einfach]]&lt;5000),Tabelle27[[#This Row],[Entfernung (km) gesamt]], 0), 0)*Tabelle27[[#This Row],[Anzahl Studierende ]]</f>
        <v>0</v>
      </c>
      <c r="R35" s="41">
        <f>IF(Tabelle27[[#This Row],[Verkehrsmittel]]="Flug", IF(AND(Tabelle27[[#This Row],[Entfernung (km) einfach]]&gt;5000,Tabelle27[[#This Row],[Entfernung (km) einfach]]&lt;10000),Tabelle27[[#This Row],[Entfernung (km) gesamt]], 0), 0)*Tabelle27[[#This Row],[Anzahl Studierende ]]</f>
        <v>0</v>
      </c>
      <c r="S35" s="41">
        <f>IF(Tabelle27[[#This Row],[Verkehrsmittel]]="Flug", IF(AND(Tabelle27[[#This Row],[Entfernung (km) einfach]]&gt;10000),Tabelle27[[#This Row],[Entfernung (km) gesamt]]), 0)*Tabelle27[[#This Row],[Anzahl Studierende ]]</f>
        <v>0</v>
      </c>
      <c r="T35" s="41">
        <f>IF(Tabelle27[[#This Row],[Verkehrsmittel]]="Motorrad",Tabelle27[[#This Row],[Entfernung (km) gesamt]],0)*Tabelle27[[#This Row],[Anzahl Studierende ]]</f>
        <v>0</v>
      </c>
      <c r="U35" s="41">
        <f>IF(Tabelle27[[#This Row],[Verkehrsmittel]]="Straßen-, S-, U-Bahn",Tabelle27[[#This Row],[Entfernung (km) gesamt]],0)*Tabelle27[[#This Row],[Anzahl Studierende ]]</f>
        <v>0</v>
      </c>
      <c r="V35" s="41">
        <f>IF(Tabelle27[[#This Row],[Verkehrsmittel]]="Fahrrad",Tabelle27[[#This Row],[Entfernung (km) gesamt]],0)*Tabelle27[[#This Row],[Anzahl Studierende ]]</f>
        <v>0</v>
      </c>
    </row>
    <row r="36" spans="2:22" s="8" customFormat="1">
      <c r="B36" s="138"/>
      <c r="C36" s="139"/>
      <c r="D36" s="160"/>
      <c r="E36" s="111"/>
      <c r="F36" s="111"/>
      <c r="G36" s="111"/>
      <c r="H36" s="117">
        <f>Tabelle27[[#This Row],[Entfernung (km) einfach]]*2</f>
        <v>0</v>
      </c>
      <c r="I36" s="111"/>
      <c r="J36" s="140"/>
      <c r="K36" s="41">
        <f>IF(Tabelle27[[#This Row],[Verkehrsmittel]]="Bus",Tabelle27[[#This Row],[Entfernung (km) gesamt]],0)*Tabelle27[[#This Row],[Anzahl Studierende ]]</f>
        <v>0</v>
      </c>
      <c r="L36" s="41">
        <f>IF(Tabelle27[[#This Row],[Verkehrsmittel]]="Bahn",Tabelle27[[#This Row],[Anzahl Studierende ]]*Tabelle27[[#This Row],[Entfernung (km) gesamt]],0)</f>
        <v>0</v>
      </c>
      <c r="M36" s="41">
        <f>IF(Tabelle27[[#This Row],[Verkehrsmittel]]="PKW",Tabelle27[[#This Row],[Anzahl Studierende ]]*Tabelle27[[#This Row],[Entfernung (km) gesamt]],0)</f>
        <v>0</v>
      </c>
      <c r="N36" s="41">
        <f>IF(Tabelle27[[#This Row],[Verkehrsmittel]]="Flug", IF(AND(Tabelle27[[#This Row],[Entfernung (km) einfach]]&lt;500),Tabelle27[[#This Row],[Entfernung (km) gesamt]]), 0)*Tabelle27[[#This Row],[Anzahl Studierende ]]</f>
        <v>0</v>
      </c>
      <c r="O36" s="41">
        <f>IF(Tabelle27[[#This Row],[Verkehrsmittel]]="Flug", IF(AND(Tabelle27[[#This Row],[Entfernung (km) einfach]]&gt;500,Tabelle27[[#This Row],[Entfernung (km) einfach]]&lt;1000),Tabelle27[[#This Row],[Entfernung (km) gesamt]], 0), 0)*Tabelle27[[#This Row],[Anzahl Studierende ]]</f>
        <v>0</v>
      </c>
      <c r="P36" s="41">
        <f>IF(Tabelle27[[#This Row],[Verkehrsmittel]]="Flug", IF(AND(Tabelle27[[#This Row],[Entfernung (km) einfach]]&gt;1000,Tabelle27[[#This Row],[Entfernung (km) einfach]]&lt;2000),Tabelle27[[#This Row],[Entfernung (km) gesamt]], 0), 0)*Tabelle27[[#This Row],[Anzahl Studierende ]]</f>
        <v>0</v>
      </c>
      <c r="Q36" s="41">
        <f>IF(Tabelle27[[#This Row],[Verkehrsmittel]]="Flug", IF(AND(Tabelle27[[#This Row],[Entfernung (km) einfach]]&gt;2000,Tabelle27[[#This Row],[Entfernung (km) einfach]]&lt;5000),Tabelle27[[#This Row],[Entfernung (km) gesamt]], 0), 0)*Tabelle27[[#This Row],[Anzahl Studierende ]]</f>
        <v>0</v>
      </c>
      <c r="R36" s="41">
        <f>IF(Tabelle27[[#This Row],[Verkehrsmittel]]="Flug", IF(AND(Tabelle27[[#This Row],[Entfernung (km) einfach]]&gt;5000,Tabelle27[[#This Row],[Entfernung (km) einfach]]&lt;10000),Tabelle27[[#This Row],[Entfernung (km) gesamt]], 0), 0)*Tabelle27[[#This Row],[Anzahl Studierende ]]</f>
        <v>0</v>
      </c>
      <c r="S36" s="41">
        <f>IF(Tabelle27[[#This Row],[Verkehrsmittel]]="Flug", IF(AND(Tabelle27[[#This Row],[Entfernung (km) einfach]]&gt;10000),Tabelle27[[#This Row],[Entfernung (km) gesamt]]), 0)*Tabelle27[[#This Row],[Anzahl Studierende ]]</f>
        <v>0</v>
      </c>
      <c r="T36" s="41">
        <f>IF(Tabelle27[[#This Row],[Verkehrsmittel]]="Motorrad",Tabelle27[[#This Row],[Entfernung (km) gesamt]],0)*Tabelle27[[#This Row],[Anzahl Studierende ]]</f>
        <v>0</v>
      </c>
      <c r="U36" s="41">
        <f>IF(Tabelle27[[#This Row],[Verkehrsmittel]]="Straßen-, S-, U-Bahn",Tabelle27[[#This Row],[Entfernung (km) gesamt]],0)*Tabelle27[[#This Row],[Anzahl Studierende ]]</f>
        <v>0</v>
      </c>
      <c r="V36" s="41">
        <f>IF(Tabelle27[[#This Row],[Verkehrsmittel]]="Fahrrad",Tabelle27[[#This Row],[Entfernung (km) gesamt]],0)*Tabelle27[[#This Row],[Anzahl Studierende ]]</f>
        <v>0</v>
      </c>
    </row>
    <row r="37" spans="2:22" s="8" customFormat="1">
      <c r="B37" s="138"/>
      <c r="C37" s="139"/>
      <c r="D37" s="160"/>
      <c r="E37" s="111"/>
      <c r="F37" s="111"/>
      <c r="G37" s="111"/>
      <c r="H37" s="117">
        <f>Tabelle27[[#This Row],[Entfernung (km) einfach]]*2</f>
        <v>0</v>
      </c>
      <c r="I37" s="111"/>
      <c r="J37" s="140"/>
      <c r="K37" s="41">
        <f>IF(Tabelle27[[#This Row],[Verkehrsmittel]]="Bus",Tabelle27[[#This Row],[Entfernung (km) gesamt]],0)*Tabelle27[[#This Row],[Anzahl Studierende ]]</f>
        <v>0</v>
      </c>
      <c r="L37" s="41">
        <f>IF(Tabelle27[[#This Row],[Verkehrsmittel]]="Bahn",Tabelle27[[#This Row],[Anzahl Studierende ]]*Tabelle27[[#This Row],[Entfernung (km) gesamt]],0)</f>
        <v>0</v>
      </c>
      <c r="M37" s="41">
        <f>IF(Tabelle27[[#This Row],[Verkehrsmittel]]="PKW",Tabelle27[[#This Row],[Anzahl Studierende ]]*Tabelle27[[#This Row],[Entfernung (km) gesamt]],0)</f>
        <v>0</v>
      </c>
      <c r="N37" s="41">
        <f>IF(Tabelle27[[#This Row],[Verkehrsmittel]]="Flug", IF(AND(Tabelle27[[#This Row],[Entfernung (km) einfach]]&lt;500),Tabelle27[[#This Row],[Entfernung (km) gesamt]]), 0)*Tabelle27[[#This Row],[Anzahl Studierende ]]</f>
        <v>0</v>
      </c>
      <c r="O37" s="41">
        <f>IF(Tabelle27[[#This Row],[Verkehrsmittel]]="Flug", IF(AND(Tabelle27[[#This Row],[Entfernung (km) einfach]]&gt;500,Tabelle27[[#This Row],[Entfernung (km) einfach]]&lt;1000),Tabelle27[[#This Row],[Entfernung (km) gesamt]], 0), 0)*Tabelle27[[#This Row],[Anzahl Studierende ]]</f>
        <v>0</v>
      </c>
      <c r="P37" s="41">
        <f>IF(Tabelle27[[#This Row],[Verkehrsmittel]]="Flug", IF(AND(Tabelle27[[#This Row],[Entfernung (km) einfach]]&gt;1000,Tabelle27[[#This Row],[Entfernung (km) einfach]]&lt;2000),Tabelle27[[#This Row],[Entfernung (km) gesamt]], 0), 0)*Tabelle27[[#This Row],[Anzahl Studierende ]]</f>
        <v>0</v>
      </c>
      <c r="Q37" s="41">
        <f>IF(Tabelle27[[#This Row],[Verkehrsmittel]]="Flug", IF(AND(Tabelle27[[#This Row],[Entfernung (km) einfach]]&gt;2000,Tabelle27[[#This Row],[Entfernung (km) einfach]]&lt;5000),Tabelle27[[#This Row],[Entfernung (km) gesamt]], 0), 0)*Tabelle27[[#This Row],[Anzahl Studierende ]]</f>
        <v>0</v>
      </c>
      <c r="R37" s="41">
        <f>IF(Tabelle27[[#This Row],[Verkehrsmittel]]="Flug", IF(AND(Tabelle27[[#This Row],[Entfernung (km) einfach]]&gt;5000,Tabelle27[[#This Row],[Entfernung (km) einfach]]&lt;10000),Tabelle27[[#This Row],[Entfernung (km) gesamt]], 0), 0)*Tabelle27[[#This Row],[Anzahl Studierende ]]</f>
        <v>0</v>
      </c>
      <c r="S37" s="41">
        <f>IF(Tabelle27[[#This Row],[Verkehrsmittel]]="Flug", IF(AND(Tabelle27[[#This Row],[Entfernung (km) einfach]]&gt;10000),Tabelle27[[#This Row],[Entfernung (km) gesamt]]), 0)*Tabelle27[[#This Row],[Anzahl Studierende ]]</f>
        <v>0</v>
      </c>
      <c r="T37" s="41">
        <f>IF(Tabelle27[[#This Row],[Verkehrsmittel]]="Motorrad",Tabelle27[[#This Row],[Entfernung (km) gesamt]],0)*Tabelle27[[#This Row],[Anzahl Studierende ]]</f>
        <v>0</v>
      </c>
      <c r="U37" s="41">
        <f>IF(Tabelle27[[#This Row],[Verkehrsmittel]]="Straßen-, S-, U-Bahn",Tabelle27[[#This Row],[Entfernung (km) gesamt]],0)*Tabelle27[[#This Row],[Anzahl Studierende ]]</f>
        <v>0</v>
      </c>
      <c r="V37" s="41">
        <f>IF(Tabelle27[[#This Row],[Verkehrsmittel]]="Fahrrad",Tabelle27[[#This Row],[Entfernung (km) gesamt]],0)*Tabelle27[[#This Row],[Anzahl Studierende ]]</f>
        <v>0</v>
      </c>
    </row>
    <row r="38" spans="2:22" s="8" customFormat="1">
      <c r="B38" s="138"/>
      <c r="C38" s="139"/>
      <c r="D38" s="160"/>
      <c r="E38" s="111"/>
      <c r="F38" s="111"/>
      <c r="G38" s="111"/>
      <c r="H38" s="117">
        <f>Tabelle27[[#This Row],[Entfernung (km) einfach]]*2</f>
        <v>0</v>
      </c>
      <c r="I38" s="111"/>
      <c r="J38" s="140"/>
      <c r="K38" s="41">
        <f>IF(Tabelle27[[#This Row],[Verkehrsmittel]]="Bus",Tabelle27[[#This Row],[Entfernung (km) gesamt]],0)*Tabelle27[[#This Row],[Anzahl Studierende ]]</f>
        <v>0</v>
      </c>
      <c r="L38" s="41">
        <f>IF(Tabelle27[[#This Row],[Verkehrsmittel]]="Bahn",Tabelle27[[#This Row],[Anzahl Studierende ]]*Tabelle27[[#This Row],[Entfernung (km) gesamt]],0)</f>
        <v>0</v>
      </c>
      <c r="M38" s="41">
        <f>IF(Tabelle27[[#This Row],[Verkehrsmittel]]="PKW",Tabelle27[[#This Row],[Anzahl Studierende ]]*Tabelle27[[#This Row],[Entfernung (km) gesamt]],0)</f>
        <v>0</v>
      </c>
      <c r="N38" s="41">
        <f>IF(Tabelle27[[#This Row],[Verkehrsmittel]]="Flug", IF(AND(Tabelle27[[#This Row],[Entfernung (km) einfach]]&lt;500),Tabelle27[[#This Row],[Entfernung (km) gesamt]]), 0)*Tabelle27[[#This Row],[Anzahl Studierende ]]</f>
        <v>0</v>
      </c>
      <c r="O38" s="41">
        <f>IF(Tabelle27[[#This Row],[Verkehrsmittel]]="Flug", IF(AND(Tabelle27[[#This Row],[Entfernung (km) einfach]]&gt;500,Tabelle27[[#This Row],[Entfernung (km) einfach]]&lt;1000),Tabelle27[[#This Row],[Entfernung (km) gesamt]], 0), 0)*Tabelle27[[#This Row],[Anzahl Studierende ]]</f>
        <v>0</v>
      </c>
      <c r="P38" s="41">
        <f>IF(Tabelle27[[#This Row],[Verkehrsmittel]]="Flug", IF(AND(Tabelle27[[#This Row],[Entfernung (km) einfach]]&gt;1000,Tabelle27[[#This Row],[Entfernung (km) einfach]]&lt;2000),Tabelle27[[#This Row],[Entfernung (km) gesamt]], 0), 0)*Tabelle27[[#This Row],[Anzahl Studierende ]]</f>
        <v>0</v>
      </c>
      <c r="Q38" s="41">
        <f>IF(Tabelle27[[#This Row],[Verkehrsmittel]]="Flug", IF(AND(Tabelle27[[#This Row],[Entfernung (km) einfach]]&gt;2000,Tabelle27[[#This Row],[Entfernung (km) einfach]]&lt;5000),Tabelle27[[#This Row],[Entfernung (km) gesamt]], 0), 0)*Tabelle27[[#This Row],[Anzahl Studierende ]]</f>
        <v>0</v>
      </c>
      <c r="R38" s="41">
        <f>IF(Tabelle27[[#This Row],[Verkehrsmittel]]="Flug", IF(AND(Tabelle27[[#This Row],[Entfernung (km) einfach]]&gt;5000,Tabelle27[[#This Row],[Entfernung (km) einfach]]&lt;10000),Tabelle27[[#This Row],[Entfernung (km) gesamt]], 0), 0)*Tabelle27[[#This Row],[Anzahl Studierende ]]</f>
        <v>0</v>
      </c>
      <c r="S38" s="41">
        <f>IF(Tabelle27[[#This Row],[Verkehrsmittel]]="Flug", IF(AND(Tabelle27[[#This Row],[Entfernung (km) einfach]]&gt;10000),Tabelle27[[#This Row],[Entfernung (km) gesamt]]), 0)*Tabelle27[[#This Row],[Anzahl Studierende ]]</f>
        <v>0</v>
      </c>
      <c r="T38" s="41">
        <f>IF(Tabelle27[[#This Row],[Verkehrsmittel]]="Motorrad",Tabelle27[[#This Row],[Entfernung (km) gesamt]],0)*Tabelle27[[#This Row],[Anzahl Studierende ]]</f>
        <v>0</v>
      </c>
      <c r="U38" s="41">
        <f>IF(Tabelle27[[#This Row],[Verkehrsmittel]]="Straßen-, S-, U-Bahn",Tabelle27[[#This Row],[Entfernung (km) gesamt]],0)*Tabelle27[[#This Row],[Anzahl Studierende ]]</f>
        <v>0</v>
      </c>
      <c r="V38" s="41">
        <f>IF(Tabelle27[[#This Row],[Verkehrsmittel]]="Fahrrad",Tabelle27[[#This Row],[Entfernung (km) gesamt]],0)*Tabelle27[[#This Row],[Anzahl Studierende ]]</f>
        <v>0</v>
      </c>
    </row>
    <row r="39" spans="2:22" s="8" customFormat="1" ht="14.4" thickBot="1">
      <c r="B39" s="141"/>
      <c r="C39" s="142"/>
      <c r="D39" s="162"/>
      <c r="E39" s="122"/>
      <c r="F39" s="122"/>
      <c r="G39" s="122"/>
      <c r="H39" s="143">
        <f>Tabelle27[[#This Row],[Entfernung (km) einfach]]*2</f>
        <v>0</v>
      </c>
      <c r="I39" s="122"/>
      <c r="J39" s="144"/>
      <c r="K39" s="41">
        <f>IF(Tabelle27[[#This Row],[Verkehrsmittel]]="Bus",Tabelle27[[#This Row],[Entfernung (km) gesamt]],0)*Tabelle27[[#This Row],[Anzahl Studierende ]]</f>
        <v>0</v>
      </c>
      <c r="L39" s="41">
        <f>IF(Tabelle27[[#This Row],[Verkehrsmittel]]="Bahn",Tabelle27[[#This Row],[Anzahl Studierende ]]*Tabelle27[[#This Row],[Entfernung (km) gesamt]],0)</f>
        <v>0</v>
      </c>
      <c r="M39" s="41">
        <f>IF(Tabelle27[[#This Row],[Verkehrsmittel]]="PKW",Tabelle27[[#This Row],[Anzahl Studierende ]]*Tabelle27[[#This Row],[Entfernung (km) gesamt]],0)</f>
        <v>0</v>
      </c>
      <c r="N39" s="41">
        <f>IF(Tabelle27[[#This Row],[Verkehrsmittel]]="Flug", IF(AND(Tabelle27[[#This Row],[Entfernung (km) einfach]]&lt;500),Tabelle27[[#This Row],[Entfernung (km) gesamt]]), 0)*Tabelle27[[#This Row],[Anzahl Studierende ]]</f>
        <v>0</v>
      </c>
      <c r="O39" s="41">
        <f>IF(Tabelle27[[#This Row],[Verkehrsmittel]]="Flug", IF(AND(Tabelle27[[#This Row],[Entfernung (km) einfach]]&gt;500,Tabelle27[[#This Row],[Entfernung (km) einfach]]&lt;1000),Tabelle27[[#This Row],[Entfernung (km) gesamt]], 0), 0)*Tabelle27[[#This Row],[Anzahl Studierende ]]</f>
        <v>0</v>
      </c>
      <c r="P39" s="41">
        <f>IF(Tabelle27[[#This Row],[Verkehrsmittel]]="Flug", IF(AND(Tabelle27[[#This Row],[Entfernung (km) einfach]]&gt;1000,Tabelle27[[#This Row],[Entfernung (km) einfach]]&lt;2000),Tabelle27[[#This Row],[Entfernung (km) gesamt]], 0), 0)*Tabelle27[[#This Row],[Anzahl Studierende ]]</f>
        <v>0</v>
      </c>
      <c r="Q39" s="41">
        <f>IF(Tabelle27[[#This Row],[Verkehrsmittel]]="Flug", IF(AND(Tabelle27[[#This Row],[Entfernung (km) einfach]]&gt;2000,Tabelle27[[#This Row],[Entfernung (km) einfach]]&lt;5000),Tabelle27[[#This Row],[Entfernung (km) gesamt]], 0), 0)*Tabelle27[[#This Row],[Anzahl Studierende ]]</f>
        <v>0</v>
      </c>
      <c r="R39" s="41">
        <f>IF(Tabelle27[[#This Row],[Verkehrsmittel]]="Flug", IF(AND(Tabelle27[[#This Row],[Entfernung (km) einfach]]&gt;5000,Tabelle27[[#This Row],[Entfernung (km) einfach]]&lt;10000),Tabelle27[[#This Row],[Entfernung (km) gesamt]], 0), 0)*Tabelle27[[#This Row],[Anzahl Studierende ]]</f>
        <v>0</v>
      </c>
      <c r="S39" s="41">
        <f>IF(Tabelle27[[#This Row],[Verkehrsmittel]]="Flug", IF(AND(Tabelle27[[#This Row],[Entfernung (km) einfach]]&gt;10000),Tabelle27[[#This Row],[Entfernung (km) gesamt]]), 0)*Tabelle27[[#This Row],[Anzahl Studierende ]]</f>
        <v>0</v>
      </c>
      <c r="T39" s="41">
        <f>IF(Tabelle27[[#This Row],[Verkehrsmittel]]="Motorrad",Tabelle27[[#This Row],[Entfernung (km) gesamt]],0)*Tabelle27[[#This Row],[Anzahl Studierende ]]</f>
        <v>0</v>
      </c>
      <c r="U39" s="41">
        <f>IF(Tabelle27[[#This Row],[Verkehrsmittel]]="Straßen-, S-, U-Bahn",Tabelle27[[#This Row],[Entfernung (km) gesamt]],0)*Tabelle27[[#This Row],[Anzahl Studierende ]]</f>
        <v>0</v>
      </c>
      <c r="V39" s="41">
        <f>IF(Tabelle27[[#This Row],[Verkehrsmittel]]="Fahrrad",Tabelle27[[#This Row],[Entfernung (km) gesamt]],0)*Tabelle27[[#This Row],[Anzahl Studierende ]]</f>
        <v>0</v>
      </c>
    </row>
    <row r="40" spans="2:22" s="8" customFormat="1" ht="14.4" thickBot="1">
      <c r="B40" s="163"/>
      <c r="C40" s="164"/>
      <c r="D40" s="165"/>
      <c r="E40" s="164"/>
      <c r="F40" s="164"/>
      <c r="G40" s="164"/>
      <c r="H40" s="164"/>
      <c r="I40" s="164"/>
      <c r="J40" s="166"/>
      <c r="K40" s="15">
        <f>SUM(Tabelle27[Km Bus])</f>
        <v>0</v>
      </c>
      <c r="L40" s="15">
        <f>SUM(Tabelle27[Km Bahn])</f>
        <v>0</v>
      </c>
      <c r="M40" s="15">
        <f>SUM(Tabelle27[Km PKW])</f>
        <v>0</v>
      </c>
      <c r="N40" s="15">
        <f>SUM(Tabelle27[Flug bis 500])</f>
        <v>0</v>
      </c>
      <c r="O40" s="15">
        <f>SUM(Tabelle27[Flug 500 - 1000 km])</f>
        <v>0</v>
      </c>
      <c r="P40" s="15">
        <f>SUM(Tabelle27[Flug 1000 - 2000])</f>
        <v>0</v>
      </c>
      <c r="Q40" s="15">
        <f>SUM(Tabelle27[Flug 2000 - 5000])</f>
        <v>0</v>
      </c>
      <c r="R40" s="15">
        <f>SUM(Tabelle27[Flug 5000 - 10000])</f>
        <v>0</v>
      </c>
      <c r="S40" s="15">
        <f>SUM(Tabelle27[Flug über 10000])</f>
        <v>0</v>
      </c>
      <c r="T40" s="15">
        <f>SUM(Tabelle27[Motorrad])</f>
        <v>0</v>
      </c>
      <c r="U40" s="15">
        <f>SUM(Tabelle27[Straßen-, S-, U-Bahn])</f>
        <v>0</v>
      </c>
      <c r="V40" s="15">
        <f>SUM(Tabelle27[Fahrrad])</f>
        <v>0</v>
      </c>
    </row>
    <row r="41" spans="2:22" s="8" customFormat="1">
      <c r="B41" s="167"/>
      <c r="C41" s="167"/>
      <c r="D41" s="167"/>
      <c r="E41" s="167"/>
      <c r="F41" s="167"/>
      <c r="G41" s="167"/>
      <c r="H41" s="167"/>
      <c r="I41" s="167"/>
      <c r="J41" s="167"/>
    </row>
    <row r="42" spans="2:22" s="8" customFormat="1">
      <c r="B42" s="167"/>
      <c r="C42" s="167"/>
      <c r="D42" s="167"/>
      <c r="E42" s="167"/>
      <c r="F42" s="167"/>
      <c r="G42" s="167"/>
      <c r="H42" s="167"/>
      <c r="I42" s="167"/>
      <c r="J42" s="167"/>
    </row>
    <row r="43" spans="2:22" s="8" customFormat="1">
      <c r="B43" s="167"/>
      <c r="C43" s="167"/>
      <c r="D43" s="167"/>
      <c r="E43" s="167"/>
      <c r="F43" s="167"/>
      <c r="G43" s="167"/>
      <c r="H43" s="167"/>
      <c r="I43" s="167"/>
      <c r="J43" s="167"/>
    </row>
    <row r="44" spans="2:22" s="8" customFormat="1">
      <c r="B44" s="167"/>
      <c r="C44" s="167"/>
      <c r="D44" s="167"/>
      <c r="E44" s="167"/>
      <c r="F44" s="167"/>
      <c r="G44" s="167"/>
      <c r="H44" s="167"/>
      <c r="I44" s="167"/>
      <c r="J44" s="167"/>
    </row>
    <row r="45" spans="2:22" s="8" customFormat="1">
      <c r="B45" s="167"/>
      <c r="C45" s="167"/>
      <c r="D45" s="167"/>
      <c r="E45" s="167"/>
      <c r="F45" s="167"/>
      <c r="G45" s="167"/>
      <c r="H45" s="167"/>
      <c r="I45" s="167"/>
      <c r="J45" s="167"/>
    </row>
    <row r="46" spans="2:22" s="8" customFormat="1">
      <c r="B46" s="167"/>
      <c r="C46" s="167"/>
      <c r="D46" s="167"/>
      <c r="E46" s="167"/>
      <c r="F46" s="167"/>
      <c r="G46" s="167"/>
      <c r="H46" s="167"/>
      <c r="I46" s="167"/>
      <c r="J46" s="167"/>
    </row>
    <row r="47" spans="2:22" s="8" customFormat="1">
      <c r="B47" s="167"/>
      <c r="C47" s="167"/>
      <c r="D47" s="167"/>
      <c r="E47" s="167"/>
      <c r="F47" s="167"/>
      <c r="G47" s="167"/>
      <c r="H47" s="167"/>
      <c r="I47" s="167"/>
      <c r="J47" s="167"/>
    </row>
    <row r="48" spans="2:22" s="8" customFormat="1">
      <c r="B48" s="167"/>
      <c r="C48" s="167"/>
      <c r="D48" s="167"/>
      <c r="E48" s="167"/>
      <c r="F48" s="167"/>
      <c r="G48" s="167"/>
      <c r="H48" s="167"/>
      <c r="I48" s="167"/>
      <c r="J48" s="167"/>
    </row>
    <row r="49" spans="2:10" s="8" customFormat="1">
      <c r="B49" s="167"/>
      <c r="C49" s="167"/>
      <c r="D49" s="167"/>
      <c r="E49" s="167"/>
      <c r="F49" s="167"/>
      <c r="G49" s="167"/>
      <c r="H49" s="167"/>
      <c r="I49" s="167"/>
      <c r="J49" s="167"/>
    </row>
    <row r="50" spans="2:10" s="8" customFormat="1">
      <c r="B50" s="167"/>
      <c r="C50" s="167"/>
      <c r="D50" s="167"/>
      <c r="E50" s="167"/>
      <c r="F50" s="167"/>
      <c r="G50" s="167"/>
      <c r="H50" s="167"/>
      <c r="I50" s="167"/>
      <c r="J50" s="167"/>
    </row>
    <row r="51" spans="2:10" s="8" customFormat="1">
      <c r="B51" s="167"/>
      <c r="C51" s="167"/>
      <c r="D51" s="167"/>
      <c r="E51" s="167"/>
      <c r="F51" s="167"/>
      <c r="G51" s="167"/>
      <c r="H51" s="167"/>
      <c r="I51" s="167"/>
      <c r="J51" s="167"/>
    </row>
  </sheetData>
  <sheetProtection algorithmName="SHA-512" hashValue="z+0TcXPEZBztPoAnuCAcZR3AlO1Ba0b4xgI0Cr7QpueGbTz2oPywjkCkSJ7QVE9FGV+Ik72mL5dFWHVFzcWpKA==" saltValue="yXiboZ0Z4vnWlirtndP11Q==" spinCount="100000" sheet="1" objects="1" formatCells="0" formatColumns="0" formatRows="0" insertColumns="0" insertRows="0" insertHyperlinks="0" deleteColumns="0" deleteRows="0" sort="0" autoFilter="0" pivotTables="0"/>
  <mergeCells count="2">
    <mergeCell ref="B5:C5"/>
    <mergeCell ref="F2:G5"/>
  </mergeCell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Hilfstabelle!$C$1:$C$7</xm:f>
          </x14:formula1>
          <xm:sqref>E9:E31</xm:sqref>
        </x14:dataValidation>
        <x14:dataValidation type="list" allowBlank="1" showInputMessage="1" showErrorMessage="1" xr:uid="{00000000-0002-0000-0400-000000000000}">
          <x14:formula1>
            <xm:f>Hilfstabelle!$A$1:$A$8</xm:f>
          </x14:formula1>
          <xm:sqref>I8:I39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0"/>
  <sheetViews>
    <sheetView showGridLines="0" workbookViewId="0">
      <selection activeCell="E3" sqref="E3"/>
    </sheetView>
  </sheetViews>
  <sheetFormatPr baseColWidth="10" defaultRowHeight="13.8"/>
  <cols>
    <col min="1" max="1" width="21.8984375" bestFit="1" customWidth="1"/>
    <col min="2" max="2" width="16.796875" style="20" customWidth="1"/>
    <col min="3" max="3" width="11.19921875" style="20"/>
    <col min="4" max="4" width="20.8984375" style="168" bestFit="1" customWidth="1"/>
    <col min="5" max="5" width="33.8984375" style="20" bestFit="1" customWidth="1"/>
    <col min="6" max="6" width="20.69921875" style="20" bestFit="1" customWidth="1"/>
    <col min="7" max="7" width="24.3984375" style="168" bestFit="1" customWidth="1"/>
    <col min="8" max="8" width="24.19921875" style="168" bestFit="1" customWidth="1"/>
    <col min="9" max="9" width="15.8984375" style="20" bestFit="1" customWidth="1"/>
    <col min="10" max="10" width="14.296875" style="20" bestFit="1" customWidth="1"/>
    <col min="11" max="18" width="11.19921875" hidden="1" customWidth="1"/>
    <col min="19" max="19" width="16.8984375" hidden="1" customWidth="1"/>
    <col min="20" max="22" width="0" hidden="1" customWidth="1"/>
  </cols>
  <sheetData>
    <row r="1" spans="1:22" ht="14.4" thickBot="1"/>
    <row r="2" spans="1:22" ht="14.4" thickBot="1">
      <c r="B2" s="98"/>
      <c r="F2" s="94" t="s">
        <v>51</v>
      </c>
      <c r="G2" s="95"/>
    </row>
    <row r="3" spans="1:22" ht="14.4" thickBot="1">
      <c r="A3" s="1" t="s">
        <v>19</v>
      </c>
      <c r="B3" s="54" t="s">
        <v>48</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8" t="s">
        <v>33</v>
      </c>
      <c r="U7" s="8" t="s">
        <v>34</v>
      </c>
      <c r="V7" s="8" t="s">
        <v>10</v>
      </c>
    </row>
    <row r="8" spans="1:22" s="8" customFormat="1" ht="15.6">
      <c r="A8"/>
      <c r="B8" s="104"/>
      <c r="C8" s="105"/>
      <c r="D8" s="106"/>
      <c r="E8" s="107"/>
      <c r="F8" s="107"/>
      <c r="G8" s="106"/>
      <c r="H8" s="107">
        <f>Tabelle28[[#This Row],[Entfernung (km) einfach]]*2</f>
        <v>0</v>
      </c>
      <c r="I8" s="107"/>
      <c r="J8" s="158"/>
      <c r="K8" s="12">
        <f>IF(Tabelle28[[#This Row],[Verkehrsmittel]]="Bus",Tabelle28[[#This Row],[Entfernung (km) gesamt]],0)*Tabelle28[[#This Row],[Anzahl Studierende ]]</f>
        <v>0</v>
      </c>
      <c r="L8" s="12">
        <f>IF(Tabelle28[[#This Row],[Verkehrsmittel]]="Bahn",Tabelle28[[#This Row],[Anzahl Studierende ]]*Tabelle28[[#This Row],[Entfernung (km) gesamt]],0)</f>
        <v>0</v>
      </c>
      <c r="M8" s="12">
        <f>IF(Tabelle28[[#This Row],[Verkehrsmittel]]="PKW",Tabelle28[[#This Row],[Anzahl Studierende ]]*Tabelle28[[#This Row],[Entfernung (km) gesamt]],0)</f>
        <v>0</v>
      </c>
      <c r="N8" s="12">
        <f>IF(Tabelle28[[#This Row],[Verkehrsmittel]]="Flug", IF(AND(Tabelle28[[#This Row],[Entfernung (km) einfach]]&lt;500),Tabelle28[[#This Row],[Entfernung (km) gesamt]]), 0)*Tabelle28[[#This Row],[Anzahl Studierende ]]</f>
        <v>0</v>
      </c>
      <c r="O8" s="12">
        <f>IF(Tabelle28[[#This Row],[Verkehrsmittel]]="Flug", IF(AND(Tabelle28[[#This Row],[Entfernung (km) einfach]]&gt;500,Tabelle28[[#This Row],[Entfernung (km) einfach]]&lt;1000),Tabelle28[[#This Row],[Entfernung (km) gesamt]], 0), 0)*Tabelle28[[#This Row],[Anzahl Studierende ]]</f>
        <v>0</v>
      </c>
      <c r="P8" s="12">
        <f>IF(Tabelle28[[#This Row],[Verkehrsmittel]]="Flug", IF(AND(Tabelle28[[#This Row],[Entfernung (km) einfach]]&gt;1000,Tabelle28[[#This Row],[Entfernung (km) einfach]]&lt;2000),Tabelle28[[#This Row],[Entfernung (km) gesamt]], 0), 0)*Tabelle28[[#This Row],[Anzahl Studierende ]]</f>
        <v>0</v>
      </c>
      <c r="Q8" s="12">
        <f>IF(Tabelle28[[#This Row],[Verkehrsmittel]]="Flug", IF(AND(Tabelle28[[#This Row],[Entfernung (km) einfach]]&gt;2000,Tabelle28[[#This Row],[Entfernung (km) einfach]]&lt;5000),Tabelle28[[#This Row],[Entfernung (km) gesamt]], 0), 0)*Tabelle28[[#This Row],[Anzahl Studierende ]]</f>
        <v>0</v>
      </c>
      <c r="R8" s="12">
        <f>IF(Tabelle28[[#This Row],[Verkehrsmittel]]="Flug", IF(AND(Tabelle28[[#This Row],[Entfernung (km) einfach]]&gt;5000,Tabelle28[[#This Row],[Entfernung (km) einfach]]&lt;10000),Tabelle28[[#This Row],[Entfernung (km) gesamt]], 0), 0)*Tabelle28[[#This Row],[Anzahl Studierende ]]</f>
        <v>0</v>
      </c>
      <c r="S8" s="12">
        <f>IF(Tabelle28[[#This Row],[Verkehrsmittel]]="Flug", IF(AND(Tabelle28[[#This Row],[Entfernung (km) einfach]]&gt;10000),Tabelle28[[#This Row],[Entfernung (km) gesamt]]), 0)*Tabelle28[[#This Row],[Anzahl Studierende ]]</f>
        <v>0</v>
      </c>
      <c r="T8" s="9">
        <f>IF(Tabelle28[[#This Row],[Verkehrsmittel]]="Motorrad",Tabelle28[[#This Row],[Entfernung (km) gesamt]],0)*Tabelle28[[#This Row],[Anzahl Studierende ]]</f>
        <v>0</v>
      </c>
      <c r="U8" s="9">
        <f>IF(Tabelle28[[#This Row],[Verkehrsmittel]]="Straßen-, S-, U-Bahn",Tabelle28[[#This Row],[Entfernung (km) gesamt]],0)*Tabelle28[[#This Row],[Anzahl Studierende ]]</f>
        <v>0</v>
      </c>
      <c r="V8" s="9">
        <f>IF(Tabelle28[[#This Row],[Verkehrsmittel]]="Fahrrad",Tabelle28[[#This Row],[Entfernung (km) gesamt]],0)*Tabelle28[[#This Row],[Anzahl Studierende ]]</f>
        <v>0</v>
      </c>
    </row>
    <row r="9" spans="1:22" s="8" customFormat="1">
      <c r="A9"/>
      <c r="B9" s="159"/>
      <c r="C9" s="111"/>
      <c r="D9" s="160"/>
      <c r="E9" s="111"/>
      <c r="F9" s="111"/>
      <c r="G9" s="111"/>
      <c r="H9" s="111">
        <f>Tabelle28[[#This Row],[Entfernung (km) einfach]]*2</f>
        <v>0</v>
      </c>
      <c r="I9" s="111"/>
      <c r="J9" s="140"/>
      <c r="K9" s="8">
        <f>IF(Tabelle28[[#This Row],[Verkehrsmittel]]="Bus",Tabelle28[[#This Row],[Entfernung (km) gesamt]],0)*Tabelle28[[#This Row],[Anzahl Studierende ]]</f>
        <v>0</v>
      </c>
      <c r="L9" s="8">
        <f>IF(Tabelle28[[#This Row],[Verkehrsmittel]]="Bahn",Tabelle28[[#This Row],[Anzahl Studierende ]]*Tabelle28[[#This Row],[Entfernung (km) gesamt]],0)</f>
        <v>0</v>
      </c>
      <c r="M9" s="8">
        <f>IF(Tabelle28[[#This Row],[Verkehrsmittel]]="PKW",Tabelle28[[#This Row],[Anzahl Studierende ]]*Tabelle28[[#This Row],[Entfernung (km) gesamt]],0)</f>
        <v>0</v>
      </c>
      <c r="N9" s="8">
        <f>IF(Tabelle28[[#This Row],[Verkehrsmittel]]="Flug", IF(AND(Tabelle28[[#This Row],[Entfernung (km) einfach]]&lt;500),Tabelle28[[#This Row],[Entfernung (km) gesamt]]), 0)*Tabelle28[[#This Row],[Anzahl Studierende ]]</f>
        <v>0</v>
      </c>
      <c r="O9" s="8">
        <f>IF(Tabelle28[[#This Row],[Verkehrsmittel]]="Flug", IF(AND(Tabelle28[[#This Row],[Entfernung (km) einfach]]&gt;500,Tabelle28[[#This Row],[Entfernung (km) einfach]]&lt;1000),Tabelle28[[#This Row],[Entfernung (km) gesamt]], 0), 0)*Tabelle28[[#This Row],[Anzahl Studierende ]]</f>
        <v>0</v>
      </c>
      <c r="P9" s="8">
        <f>IF(Tabelle28[[#This Row],[Verkehrsmittel]]="Flug", IF(AND(Tabelle28[[#This Row],[Entfernung (km) einfach]]&gt;1000,Tabelle28[[#This Row],[Entfernung (km) einfach]]&lt;2000),Tabelle28[[#This Row],[Entfernung (km) gesamt]], 0), 0)*Tabelle28[[#This Row],[Anzahl Studierende ]]</f>
        <v>0</v>
      </c>
      <c r="Q9" s="8">
        <f>IF(Tabelle28[[#This Row],[Verkehrsmittel]]="Flug", IF(AND(Tabelle28[[#This Row],[Entfernung (km) einfach]]&gt;2000,Tabelle28[[#This Row],[Entfernung (km) einfach]]&lt;5000),Tabelle28[[#This Row],[Entfernung (km) gesamt]], 0), 0)*Tabelle28[[#This Row],[Anzahl Studierende ]]</f>
        <v>0</v>
      </c>
      <c r="R9" s="8">
        <f>IF(Tabelle28[[#This Row],[Verkehrsmittel]]="Flug", IF(AND(Tabelle28[[#This Row],[Entfernung (km) einfach]]&gt;5000,Tabelle28[[#This Row],[Entfernung (km) einfach]]&lt;10000),Tabelle28[[#This Row],[Entfernung (km) gesamt]], 0), 0)*Tabelle28[[#This Row],[Anzahl Studierende ]]</f>
        <v>0</v>
      </c>
      <c r="S9" s="8">
        <f>IF(Tabelle28[[#This Row],[Verkehrsmittel]]="Flug", IF(AND(Tabelle28[[#This Row],[Entfernung (km) einfach]]&gt;10000),Tabelle28[[#This Row],[Entfernung (km) gesamt]]), 0)*Tabelle28[[#This Row],[Anzahl Studierende ]]</f>
        <v>0</v>
      </c>
      <c r="T9" s="8">
        <f>IF(Tabelle28[[#This Row],[Verkehrsmittel]]="Motorrad",Tabelle28[[#This Row],[Entfernung (km) gesamt]],0)*Tabelle28[[#This Row],[Anzahl Studierende ]]</f>
        <v>0</v>
      </c>
      <c r="U9" s="8">
        <f>IF(Tabelle28[[#This Row],[Verkehrsmittel]]="Straßen-, S-, U-Bahn",Tabelle28[[#This Row],[Entfernung (km) gesamt]],0)*Tabelle28[[#This Row],[Anzahl Studierende ]]</f>
        <v>0</v>
      </c>
      <c r="V9" s="8">
        <f>IF(Tabelle28[[#This Row],[Verkehrsmittel]]="Fahrrad",Tabelle28[[#This Row],[Entfernung (km) gesamt]],0)*Tabelle28[[#This Row],[Anzahl Studierende ]]</f>
        <v>0</v>
      </c>
    </row>
    <row r="10" spans="1:22" s="8" customFormat="1">
      <c r="A10"/>
      <c r="B10" s="159"/>
      <c r="C10" s="111"/>
      <c r="D10" s="160"/>
      <c r="E10" s="111"/>
      <c r="F10" s="111"/>
      <c r="G10" s="111"/>
      <c r="H10" s="111">
        <f>Tabelle28[[#This Row],[Entfernung (km) einfach]]*2</f>
        <v>0</v>
      </c>
      <c r="I10" s="111"/>
      <c r="J10" s="140"/>
      <c r="K10" s="8">
        <f>IF(Tabelle28[[#This Row],[Verkehrsmittel]]="Bus",Tabelle28[[#This Row],[Entfernung (km) gesamt]],0)*Tabelle28[[#This Row],[Anzahl Studierende ]]</f>
        <v>0</v>
      </c>
      <c r="L10" s="8">
        <f>IF(Tabelle28[[#This Row],[Verkehrsmittel]]="Bahn",Tabelle28[[#This Row],[Anzahl Studierende ]]*Tabelle28[[#This Row],[Entfernung (km) gesamt]],0)</f>
        <v>0</v>
      </c>
      <c r="M10" s="8">
        <f>IF(Tabelle28[[#This Row],[Verkehrsmittel]]="PKW",Tabelle28[[#This Row],[Anzahl Studierende ]]*Tabelle28[[#This Row],[Entfernung (km) gesamt]],0)</f>
        <v>0</v>
      </c>
      <c r="N10" s="8">
        <f>IF(Tabelle28[[#This Row],[Verkehrsmittel]]="Flug", IF(AND(Tabelle28[[#This Row],[Entfernung (km) einfach]]&lt;500),Tabelle28[[#This Row],[Entfernung (km) gesamt]]), 0)*Tabelle28[[#This Row],[Anzahl Studierende ]]</f>
        <v>0</v>
      </c>
      <c r="O10" s="8">
        <f>IF(Tabelle28[[#This Row],[Verkehrsmittel]]="Flug", IF(AND(Tabelle28[[#This Row],[Entfernung (km) einfach]]&gt;500,Tabelle28[[#This Row],[Entfernung (km) einfach]]&lt;1000),Tabelle28[[#This Row],[Entfernung (km) gesamt]], 0), 0)*Tabelle28[[#This Row],[Anzahl Studierende ]]</f>
        <v>0</v>
      </c>
      <c r="P10" s="8">
        <f>IF(Tabelle28[[#This Row],[Verkehrsmittel]]="Flug", IF(AND(Tabelle28[[#This Row],[Entfernung (km) einfach]]&gt;1000,Tabelle28[[#This Row],[Entfernung (km) einfach]]&lt;2000),Tabelle28[[#This Row],[Entfernung (km) gesamt]], 0), 0)*Tabelle28[[#This Row],[Anzahl Studierende ]]</f>
        <v>0</v>
      </c>
      <c r="Q10" s="8">
        <f>IF(Tabelle28[[#This Row],[Verkehrsmittel]]="Flug", IF(AND(Tabelle28[[#This Row],[Entfernung (km) einfach]]&gt;2000,Tabelle28[[#This Row],[Entfernung (km) einfach]]&lt;5000),Tabelle28[[#This Row],[Entfernung (km) gesamt]], 0), 0)*Tabelle28[[#This Row],[Anzahl Studierende ]]</f>
        <v>0</v>
      </c>
      <c r="R10" s="8">
        <f>IF(Tabelle28[[#This Row],[Verkehrsmittel]]="Flug", IF(AND(Tabelle28[[#This Row],[Entfernung (km) einfach]]&gt;5000,Tabelle28[[#This Row],[Entfernung (km) einfach]]&lt;10000),Tabelle28[[#This Row],[Entfernung (km) gesamt]], 0), 0)*Tabelle28[[#This Row],[Anzahl Studierende ]]</f>
        <v>0</v>
      </c>
      <c r="S10" s="8">
        <f>IF(Tabelle28[[#This Row],[Verkehrsmittel]]="Flug", IF(AND(Tabelle28[[#This Row],[Entfernung (km) einfach]]&gt;10000),Tabelle28[[#This Row],[Entfernung (km) gesamt]]), 0)*Tabelle28[[#This Row],[Anzahl Studierende ]]</f>
        <v>0</v>
      </c>
      <c r="T10" s="8">
        <f>IF(Tabelle28[[#This Row],[Verkehrsmittel]]="Motorrad",Tabelle28[[#This Row],[Entfernung (km) gesamt]],0)*Tabelle28[[#This Row],[Anzahl Studierende ]]</f>
        <v>0</v>
      </c>
      <c r="U10" s="8">
        <f>IF(Tabelle28[[#This Row],[Verkehrsmittel]]="Straßen-, S-, U-Bahn",Tabelle28[[#This Row],[Entfernung (km) gesamt]],0)*Tabelle28[[#This Row],[Anzahl Studierende ]]</f>
        <v>0</v>
      </c>
      <c r="V10" s="8">
        <f>IF(Tabelle28[[#This Row],[Verkehrsmittel]]="Fahrrad",Tabelle28[[#This Row],[Entfernung (km) gesamt]],0)*Tabelle28[[#This Row],[Anzahl Studierende ]]</f>
        <v>0</v>
      </c>
    </row>
    <row r="11" spans="1:22" s="8" customFormat="1">
      <c r="A11"/>
      <c r="B11" s="159"/>
      <c r="C11" s="111"/>
      <c r="D11" s="160"/>
      <c r="E11" s="111"/>
      <c r="F11" s="111"/>
      <c r="G11" s="111"/>
      <c r="H11" s="111">
        <f>Tabelle28[[#This Row],[Entfernung (km) einfach]]*2</f>
        <v>0</v>
      </c>
      <c r="I11" s="111"/>
      <c r="J11" s="140"/>
      <c r="K11" s="8">
        <f>IF(Tabelle28[[#This Row],[Verkehrsmittel]]="Bus",Tabelle28[[#This Row],[Entfernung (km) gesamt]],0)*Tabelle28[[#This Row],[Anzahl Studierende ]]</f>
        <v>0</v>
      </c>
      <c r="L11" s="8">
        <f>IF(Tabelle28[[#This Row],[Verkehrsmittel]]="Bahn",Tabelle28[[#This Row],[Anzahl Studierende ]]*Tabelle28[[#This Row],[Entfernung (km) gesamt]],0)</f>
        <v>0</v>
      </c>
      <c r="M11" s="8">
        <f>IF(Tabelle28[[#This Row],[Verkehrsmittel]]="PKW",Tabelle28[[#This Row],[Anzahl Studierende ]]*Tabelle28[[#This Row],[Entfernung (km) gesamt]],0)</f>
        <v>0</v>
      </c>
      <c r="N11" s="8">
        <f>IF(Tabelle28[[#This Row],[Verkehrsmittel]]="Flug", IF(AND(Tabelle28[[#This Row],[Entfernung (km) einfach]]&lt;500),Tabelle28[[#This Row],[Entfernung (km) gesamt]]), 0)*Tabelle28[[#This Row],[Anzahl Studierende ]]</f>
        <v>0</v>
      </c>
      <c r="O11" s="8">
        <f>IF(Tabelle28[[#This Row],[Verkehrsmittel]]="Flug", IF(AND(Tabelle28[[#This Row],[Entfernung (km) einfach]]&gt;500,Tabelle28[[#This Row],[Entfernung (km) einfach]]&lt;1000),Tabelle28[[#This Row],[Entfernung (km) gesamt]], 0), 0)*Tabelle28[[#This Row],[Anzahl Studierende ]]</f>
        <v>0</v>
      </c>
      <c r="P11" s="8">
        <f>IF(Tabelle28[[#This Row],[Verkehrsmittel]]="Flug", IF(AND(Tabelle28[[#This Row],[Entfernung (km) einfach]]&gt;1000,Tabelle28[[#This Row],[Entfernung (km) einfach]]&lt;2000),Tabelle28[[#This Row],[Entfernung (km) gesamt]], 0), 0)*Tabelle28[[#This Row],[Anzahl Studierende ]]</f>
        <v>0</v>
      </c>
      <c r="Q11" s="8">
        <f>IF(Tabelle28[[#This Row],[Verkehrsmittel]]="Flug", IF(AND(Tabelle28[[#This Row],[Entfernung (km) einfach]]&gt;2000,Tabelle28[[#This Row],[Entfernung (km) einfach]]&lt;5000),Tabelle28[[#This Row],[Entfernung (km) gesamt]], 0), 0)*Tabelle28[[#This Row],[Anzahl Studierende ]]</f>
        <v>0</v>
      </c>
      <c r="R11" s="8">
        <f>IF(Tabelle28[[#This Row],[Verkehrsmittel]]="Flug", IF(AND(Tabelle28[[#This Row],[Entfernung (km) einfach]]&gt;5000,Tabelle28[[#This Row],[Entfernung (km) einfach]]&lt;10000),Tabelle28[[#This Row],[Entfernung (km) gesamt]], 0), 0)*Tabelle28[[#This Row],[Anzahl Studierende ]]</f>
        <v>0</v>
      </c>
      <c r="S11" s="8">
        <f>IF(Tabelle28[[#This Row],[Verkehrsmittel]]="Flug", IF(AND(Tabelle28[[#This Row],[Entfernung (km) einfach]]&gt;10000),Tabelle28[[#This Row],[Entfernung (km) gesamt]]), 0)*Tabelle28[[#This Row],[Anzahl Studierende ]]</f>
        <v>0</v>
      </c>
      <c r="T11" s="8">
        <f>IF(Tabelle28[[#This Row],[Verkehrsmittel]]="Motorrad",Tabelle28[[#This Row],[Entfernung (km) gesamt]],0)*Tabelle28[[#This Row],[Anzahl Studierende ]]</f>
        <v>0</v>
      </c>
      <c r="U11" s="8">
        <f>IF(Tabelle28[[#This Row],[Verkehrsmittel]]="Straßen-, S-, U-Bahn",Tabelle28[[#This Row],[Entfernung (km) gesamt]],0)*Tabelle28[[#This Row],[Anzahl Studierende ]]</f>
        <v>0</v>
      </c>
      <c r="V11" s="8">
        <f>IF(Tabelle28[[#This Row],[Verkehrsmittel]]="Fahrrad",Tabelle28[[#This Row],[Entfernung (km) gesamt]],0)*Tabelle28[[#This Row],[Anzahl Studierende ]]</f>
        <v>0</v>
      </c>
    </row>
    <row r="12" spans="1:22" s="8" customFormat="1">
      <c r="A12"/>
      <c r="B12" s="159"/>
      <c r="C12" s="111"/>
      <c r="D12" s="160"/>
      <c r="E12" s="111"/>
      <c r="F12" s="111"/>
      <c r="G12" s="111"/>
      <c r="H12" s="111">
        <f>Tabelle28[[#This Row],[Entfernung (km) einfach]]*2</f>
        <v>0</v>
      </c>
      <c r="I12" s="111"/>
      <c r="J12" s="140"/>
      <c r="K12" s="8">
        <f>IF(Tabelle28[[#This Row],[Verkehrsmittel]]="Bus",Tabelle28[[#This Row],[Entfernung (km) gesamt]],0)*Tabelle28[[#This Row],[Anzahl Studierende ]]</f>
        <v>0</v>
      </c>
      <c r="L12" s="8">
        <f>IF(Tabelle28[[#This Row],[Verkehrsmittel]]="Bahn",Tabelle28[[#This Row],[Anzahl Studierende ]]*Tabelle28[[#This Row],[Entfernung (km) gesamt]],0)</f>
        <v>0</v>
      </c>
      <c r="M12" s="8">
        <f>IF(Tabelle28[[#This Row],[Verkehrsmittel]]="PKW",Tabelle28[[#This Row],[Anzahl Studierende ]]*Tabelle28[[#This Row],[Entfernung (km) gesamt]],0)</f>
        <v>0</v>
      </c>
      <c r="N12" s="8">
        <f>IF(Tabelle28[[#This Row],[Verkehrsmittel]]="Flug", IF(AND(Tabelle28[[#This Row],[Entfernung (km) einfach]]&lt;500),Tabelle28[[#This Row],[Entfernung (km) gesamt]]), 0)*Tabelle28[[#This Row],[Anzahl Studierende ]]</f>
        <v>0</v>
      </c>
      <c r="O12" s="8">
        <f>IF(Tabelle28[[#This Row],[Verkehrsmittel]]="Flug", IF(AND(Tabelle28[[#This Row],[Entfernung (km) einfach]]&gt;500,Tabelle28[[#This Row],[Entfernung (km) einfach]]&lt;1000),Tabelle28[[#This Row],[Entfernung (km) gesamt]], 0), 0)*Tabelle28[[#This Row],[Anzahl Studierende ]]</f>
        <v>0</v>
      </c>
      <c r="P12" s="8">
        <f>IF(Tabelle28[[#This Row],[Verkehrsmittel]]="Flug", IF(AND(Tabelle28[[#This Row],[Entfernung (km) einfach]]&gt;1000,Tabelle28[[#This Row],[Entfernung (km) einfach]]&lt;2000),Tabelle28[[#This Row],[Entfernung (km) gesamt]], 0), 0)*Tabelle28[[#This Row],[Anzahl Studierende ]]</f>
        <v>0</v>
      </c>
      <c r="Q12" s="8">
        <f>IF(Tabelle28[[#This Row],[Verkehrsmittel]]="Flug", IF(AND(Tabelle28[[#This Row],[Entfernung (km) einfach]]&gt;2000,Tabelle28[[#This Row],[Entfernung (km) einfach]]&lt;5000),Tabelle28[[#This Row],[Entfernung (km) gesamt]], 0), 0)*Tabelle28[[#This Row],[Anzahl Studierende ]]</f>
        <v>0</v>
      </c>
      <c r="R12" s="8">
        <f>IF(Tabelle28[[#This Row],[Verkehrsmittel]]="Flug", IF(AND(Tabelle28[[#This Row],[Entfernung (km) einfach]]&gt;5000,Tabelle28[[#This Row],[Entfernung (km) einfach]]&lt;10000),Tabelle28[[#This Row],[Entfernung (km) gesamt]], 0), 0)*Tabelle28[[#This Row],[Anzahl Studierende ]]</f>
        <v>0</v>
      </c>
      <c r="S12" s="8">
        <f>IF(Tabelle28[[#This Row],[Verkehrsmittel]]="Flug", IF(AND(Tabelle28[[#This Row],[Entfernung (km) einfach]]&gt;10000),Tabelle28[[#This Row],[Entfernung (km) gesamt]]), 0)*Tabelle28[[#This Row],[Anzahl Studierende ]]</f>
        <v>0</v>
      </c>
      <c r="T12" s="8">
        <f>IF(Tabelle28[[#This Row],[Verkehrsmittel]]="Motorrad",Tabelle28[[#This Row],[Entfernung (km) gesamt]],0)*Tabelle28[[#This Row],[Anzahl Studierende ]]</f>
        <v>0</v>
      </c>
      <c r="U12" s="8">
        <f>IF(Tabelle28[[#This Row],[Verkehrsmittel]]="Straßen-, S-, U-Bahn",Tabelle28[[#This Row],[Entfernung (km) gesamt]],0)*Tabelle28[[#This Row],[Anzahl Studierende ]]</f>
        <v>0</v>
      </c>
      <c r="V12" s="8">
        <f>IF(Tabelle28[[#This Row],[Verkehrsmittel]]="Fahrrad",Tabelle28[[#This Row],[Entfernung (km) gesamt]],0)*Tabelle28[[#This Row],[Anzahl Studierende ]]</f>
        <v>0</v>
      </c>
    </row>
    <row r="13" spans="1:22" s="8" customFormat="1">
      <c r="A13"/>
      <c r="B13" s="159"/>
      <c r="C13" s="111"/>
      <c r="D13" s="160"/>
      <c r="E13" s="111"/>
      <c r="F13" s="111"/>
      <c r="G13" s="111"/>
      <c r="H13" s="111">
        <f>Tabelle28[[#This Row],[Entfernung (km) einfach]]*2</f>
        <v>0</v>
      </c>
      <c r="I13" s="111"/>
      <c r="J13" s="140"/>
      <c r="K13" s="8">
        <f>IF(Tabelle28[[#This Row],[Verkehrsmittel]]="Bus",Tabelle28[[#This Row],[Entfernung (km) gesamt]],0)*Tabelle28[[#This Row],[Anzahl Studierende ]]</f>
        <v>0</v>
      </c>
      <c r="L13" s="8">
        <f>IF(Tabelle28[[#This Row],[Verkehrsmittel]]="Bahn",Tabelle28[[#This Row],[Anzahl Studierende ]]*Tabelle28[[#This Row],[Entfernung (km) gesamt]],0)</f>
        <v>0</v>
      </c>
      <c r="M13" s="8">
        <f>IF(Tabelle28[[#This Row],[Verkehrsmittel]]="PKW",Tabelle28[[#This Row],[Anzahl Studierende ]]*Tabelle28[[#This Row],[Entfernung (km) gesamt]],0)</f>
        <v>0</v>
      </c>
      <c r="N13" s="8">
        <f>IF(Tabelle28[[#This Row],[Verkehrsmittel]]="Flug", IF(AND(Tabelle28[[#This Row],[Entfernung (km) einfach]]&lt;500),Tabelle28[[#This Row],[Entfernung (km) gesamt]]), 0)*Tabelle28[[#This Row],[Anzahl Studierende ]]</f>
        <v>0</v>
      </c>
      <c r="O13" s="8">
        <f>IF(Tabelle28[[#This Row],[Verkehrsmittel]]="Flug", IF(AND(Tabelle28[[#This Row],[Entfernung (km) einfach]]&gt;500,Tabelle28[[#This Row],[Entfernung (km) einfach]]&lt;1000),Tabelle28[[#This Row],[Entfernung (km) gesamt]], 0), 0)*Tabelle28[[#This Row],[Anzahl Studierende ]]</f>
        <v>0</v>
      </c>
      <c r="P13" s="8">
        <f>IF(Tabelle28[[#This Row],[Verkehrsmittel]]="Flug", IF(AND(Tabelle28[[#This Row],[Entfernung (km) einfach]]&gt;1000,Tabelle28[[#This Row],[Entfernung (km) einfach]]&lt;2000),Tabelle28[[#This Row],[Entfernung (km) gesamt]], 0), 0)*Tabelle28[[#This Row],[Anzahl Studierende ]]</f>
        <v>0</v>
      </c>
      <c r="Q13" s="8">
        <f>IF(Tabelle28[[#This Row],[Verkehrsmittel]]="Flug", IF(AND(Tabelle28[[#This Row],[Entfernung (km) einfach]]&gt;2000,Tabelle28[[#This Row],[Entfernung (km) einfach]]&lt;5000),Tabelle28[[#This Row],[Entfernung (km) gesamt]], 0), 0)*Tabelle28[[#This Row],[Anzahl Studierende ]]</f>
        <v>0</v>
      </c>
      <c r="R13" s="8">
        <f>IF(Tabelle28[[#This Row],[Verkehrsmittel]]="Flug", IF(AND(Tabelle28[[#This Row],[Entfernung (km) einfach]]&gt;5000,Tabelle28[[#This Row],[Entfernung (km) einfach]]&lt;10000),Tabelle28[[#This Row],[Entfernung (km) gesamt]], 0), 0)*Tabelle28[[#This Row],[Anzahl Studierende ]]</f>
        <v>0</v>
      </c>
      <c r="S13" s="8">
        <f>IF(Tabelle28[[#This Row],[Verkehrsmittel]]="Flug", IF(AND(Tabelle28[[#This Row],[Entfernung (km) einfach]]&gt;10000),Tabelle28[[#This Row],[Entfernung (km) gesamt]]), 0)*Tabelle28[[#This Row],[Anzahl Studierende ]]</f>
        <v>0</v>
      </c>
      <c r="T13" s="8">
        <f>IF(Tabelle28[[#This Row],[Verkehrsmittel]]="Motorrad",Tabelle28[[#This Row],[Entfernung (km) gesamt]],0)*Tabelle28[[#This Row],[Anzahl Studierende ]]</f>
        <v>0</v>
      </c>
      <c r="U13" s="8">
        <f>IF(Tabelle28[[#This Row],[Verkehrsmittel]]="Straßen-, S-, U-Bahn",Tabelle28[[#This Row],[Entfernung (km) gesamt]],0)*Tabelle28[[#This Row],[Anzahl Studierende ]]</f>
        <v>0</v>
      </c>
      <c r="V13" s="8">
        <f>IF(Tabelle28[[#This Row],[Verkehrsmittel]]="Fahrrad",Tabelle28[[#This Row],[Entfernung (km) gesamt]],0)*Tabelle28[[#This Row],[Anzahl Studierende ]]</f>
        <v>0</v>
      </c>
    </row>
    <row r="14" spans="1:22" s="8" customFormat="1">
      <c r="A14"/>
      <c r="B14" s="159"/>
      <c r="C14" s="111"/>
      <c r="D14" s="160"/>
      <c r="E14" s="111"/>
      <c r="F14" s="111"/>
      <c r="G14" s="111"/>
      <c r="H14" s="111">
        <f>Tabelle28[[#This Row],[Entfernung (km) einfach]]*2</f>
        <v>0</v>
      </c>
      <c r="I14" s="111"/>
      <c r="J14" s="140"/>
      <c r="K14" s="8">
        <f>IF(Tabelle28[[#This Row],[Verkehrsmittel]]="Bus",Tabelle28[[#This Row],[Entfernung (km) gesamt]],0)*Tabelle28[[#This Row],[Anzahl Studierende ]]</f>
        <v>0</v>
      </c>
      <c r="L14" s="8">
        <f>IF(Tabelle28[[#This Row],[Verkehrsmittel]]="Bahn",Tabelle28[[#This Row],[Anzahl Studierende ]]*Tabelle28[[#This Row],[Entfernung (km) gesamt]],0)</f>
        <v>0</v>
      </c>
      <c r="M14" s="8">
        <f>IF(Tabelle28[[#This Row],[Verkehrsmittel]]="PKW",Tabelle28[[#This Row],[Anzahl Studierende ]]*Tabelle28[[#This Row],[Entfernung (km) gesamt]],0)</f>
        <v>0</v>
      </c>
      <c r="N14" s="8">
        <f>IF(Tabelle28[[#This Row],[Verkehrsmittel]]="Flug", IF(AND(Tabelle28[[#This Row],[Entfernung (km) einfach]]&lt;500),Tabelle28[[#This Row],[Entfernung (km) gesamt]]), 0)*Tabelle28[[#This Row],[Anzahl Studierende ]]</f>
        <v>0</v>
      </c>
      <c r="O14" s="8">
        <f>IF(Tabelle28[[#This Row],[Verkehrsmittel]]="Flug", IF(AND(Tabelle28[[#This Row],[Entfernung (km) einfach]]&gt;500,Tabelle28[[#This Row],[Entfernung (km) einfach]]&lt;1000),Tabelle28[[#This Row],[Entfernung (km) gesamt]], 0), 0)*Tabelle28[[#This Row],[Anzahl Studierende ]]</f>
        <v>0</v>
      </c>
      <c r="P14" s="8">
        <f>IF(Tabelle28[[#This Row],[Verkehrsmittel]]="Flug", IF(AND(Tabelle28[[#This Row],[Entfernung (km) einfach]]&gt;1000,Tabelle28[[#This Row],[Entfernung (km) einfach]]&lt;2000),Tabelle28[[#This Row],[Entfernung (km) gesamt]], 0), 0)*Tabelle28[[#This Row],[Anzahl Studierende ]]</f>
        <v>0</v>
      </c>
      <c r="Q14" s="8">
        <f>IF(Tabelle28[[#This Row],[Verkehrsmittel]]="Flug", IF(AND(Tabelle28[[#This Row],[Entfernung (km) einfach]]&gt;2000,Tabelle28[[#This Row],[Entfernung (km) einfach]]&lt;5000),Tabelle28[[#This Row],[Entfernung (km) gesamt]], 0), 0)*Tabelle28[[#This Row],[Anzahl Studierende ]]</f>
        <v>0</v>
      </c>
      <c r="R14" s="8">
        <f>IF(Tabelle28[[#This Row],[Verkehrsmittel]]="Flug", IF(AND(Tabelle28[[#This Row],[Entfernung (km) einfach]]&gt;5000,Tabelle28[[#This Row],[Entfernung (km) einfach]]&lt;10000),Tabelle28[[#This Row],[Entfernung (km) gesamt]], 0), 0)*Tabelle28[[#This Row],[Anzahl Studierende ]]</f>
        <v>0</v>
      </c>
      <c r="S14" s="8">
        <f>IF(Tabelle28[[#This Row],[Verkehrsmittel]]="Flug", IF(AND(Tabelle28[[#This Row],[Entfernung (km) einfach]]&gt;10000),Tabelle28[[#This Row],[Entfernung (km) gesamt]]), 0)*Tabelle28[[#This Row],[Anzahl Studierende ]]</f>
        <v>0</v>
      </c>
      <c r="T14" s="8">
        <f>IF(Tabelle28[[#This Row],[Verkehrsmittel]]="Motorrad",Tabelle28[[#This Row],[Entfernung (km) gesamt]],0)*Tabelle28[[#This Row],[Anzahl Studierende ]]</f>
        <v>0</v>
      </c>
      <c r="U14" s="8">
        <f>IF(Tabelle28[[#This Row],[Verkehrsmittel]]="Straßen-, S-, U-Bahn",Tabelle28[[#This Row],[Entfernung (km) gesamt]],0)*Tabelle28[[#This Row],[Anzahl Studierende ]]</f>
        <v>0</v>
      </c>
      <c r="V14" s="8">
        <f>IF(Tabelle28[[#This Row],[Verkehrsmittel]]="Fahrrad",Tabelle28[[#This Row],[Entfernung (km) gesamt]],0)*Tabelle28[[#This Row],[Anzahl Studierende ]]</f>
        <v>0</v>
      </c>
    </row>
    <row r="15" spans="1:22" s="8" customFormat="1">
      <c r="A15"/>
      <c r="B15" s="159"/>
      <c r="C15" s="111"/>
      <c r="D15" s="160"/>
      <c r="E15" s="111"/>
      <c r="F15" s="111"/>
      <c r="G15" s="111"/>
      <c r="H15" s="111">
        <f>Tabelle28[[#This Row],[Entfernung (km) einfach]]*2</f>
        <v>0</v>
      </c>
      <c r="I15" s="111"/>
      <c r="J15" s="140"/>
      <c r="K15" s="8">
        <f>IF(Tabelle28[[#This Row],[Verkehrsmittel]]="Bus",Tabelle28[[#This Row],[Entfernung (km) gesamt]],0)*Tabelle28[[#This Row],[Anzahl Studierende ]]</f>
        <v>0</v>
      </c>
      <c r="L15" s="8">
        <f>IF(Tabelle28[[#This Row],[Verkehrsmittel]]="Bahn",Tabelle28[[#This Row],[Anzahl Studierende ]]*Tabelle28[[#This Row],[Entfernung (km) gesamt]],0)</f>
        <v>0</v>
      </c>
      <c r="M15" s="8">
        <f>IF(Tabelle28[[#This Row],[Verkehrsmittel]]="PKW",Tabelle28[[#This Row],[Anzahl Studierende ]]*Tabelle28[[#This Row],[Entfernung (km) gesamt]],0)</f>
        <v>0</v>
      </c>
      <c r="N15" s="8">
        <f>IF(Tabelle28[[#This Row],[Verkehrsmittel]]="Flug", IF(AND(Tabelle28[[#This Row],[Entfernung (km) einfach]]&lt;500),Tabelle28[[#This Row],[Entfernung (km) gesamt]]), 0)*Tabelle28[[#This Row],[Anzahl Studierende ]]</f>
        <v>0</v>
      </c>
      <c r="O15" s="8">
        <f>IF(Tabelle28[[#This Row],[Verkehrsmittel]]="Flug", IF(AND(Tabelle28[[#This Row],[Entfernung (km) einfach]]&gt;500,Tabelle28[[#This Row],[Entfernung (km) einfach]]&lt;1000),Tabelle28[[#This Row],[Entfernung (km) gesamt]], 0), 0)*Tabelle28[[#This Row],[Anzahl Studierende ]]</f>
        <v>0</v>
      </c>
      <c r="P15" s="8">
        <f>IF(Tabelle28[[#This Row],[Verkehrsmittel]]="Flug", IF(AND(Tabelle28[[#This Row],[Entfernung (km) einfach]]&gt;1000,Tabelle28[[#This Row],[Entfernung (km) einfach]]&lt;2000),Tabelle28[[#This Row],[Entfernung (km) gesamt]], 0), 0)*Tabelle28[[#This Row],[Anzahl Studierende ]]</f>
        <v>0</v>
      </c>
      <c r="Q15" s="8">
        <f>IF(Tabelle28[[#This Row],[Verkehrsmittel]]="Flug", IF(AND(Tabelle28[[#This Row],[Entfernung (km) einfach]]&gt;2000,Tabelle28[[#This Row],[Entfernung (km) einfach]]&lt;5000),Tabelle28[[#This Row],[Entfernung (km) gesamt]], 0), 0)*Tabelle28[[#This Row],[Anzahl Studierende ]]</f>
        <v>0</v>
      </c>
      <c r="R15" s="8">
        <f>IF(Tabelle28[[#This Row],[Verkehrsmittel]]="Flug", IF(AND(Tabelle28[[#This Row],[Entfernung (km) einfach]]&gt;5000,Tabelle28[[#This Row],[Entfernung (km) einfach]]&lt;10000),Tabelle28[[#This Row],[Entfernung (km) gesamt]], 0), 0)*Tabelle28[[#This Row],[Anzahl Studierende ]]</f>
        <v>0</v>
      </c>
      <c r="S15" s="8">
        <f>IF(Tabelle28[[#This Row],[Verkehrsmittel]]="Flug", IF(AND(Tabelle28[[#This Row],[Entfernung (km) einfach]]&gt;10000),Tabelle28[[#This Row],[Entfernung (km) gesamt]]), 0)*Tabelle28[[#This Row],[Anzahl Studierende ]]</f>
        <v>0</v>
      </c>
      <c r="T15" s="8">
        <f>IF(Tabelle28[[#This Row],[Verkehrsmittel]]="Motorrad",Tabelle28[[#This Row],[Entfernung (km) gesamt]],0)*Tabelle28[[#This Row],[Anzahl Studierende ]]</f>
        <v>0</v>
      </c>
      <c r="U15" s="8">
        <f>IF(Tabelle28[[#This Row],[Verkehrsmittel]]="Straßen-, S-, U-Bahn",Tabelle28[[#This Row],[Entfernung (km) gesamt]],0)*Tabelle28[[#This Row],[Anzahl Studierende ]]</f>
        <v>0</v>
      </c>
      <c r="V15" s="8">
        <f>IF(Tabelle28[[#This Row],[Verkehrsmittel]]="Fahrrad",Tabelle28[[#This Row],[Entfernung (km) gesamt]],0)*Tabelle28[[#This Row],[Anzahl Studierende ]]</f>
        <v>0</v>
      </c>
    </row>
    <row r="16" spans="1:22" s="8" customFormat="1">
      <c r="A16"/>
      <c r="B16" s="159"/>
      <c r="C16" s="111"/>
      <c r="D16" s="160"/>
      <c r="E16" s="111"/>
      <c r="F16" s="111"/>
      <c r="G16" s="111"/>
      <c r="H16" s="111">
        <f>Tabelle28[[#This Row],[Entfernung (km) einfach]]*2</f>
        <v>0</v>
      </c>
      <c r="I16" s="111"/>
      <c r="J16" s="140"/>
      <c r="K16" s="8">
        <f>IF(Tabelle28[[#This Row],[Verkehrsmittel]]="Bus",Tabelle28[[#This Row],[Entfernung (km) gesamt]],0)*Tabelle28[[#This Row],[Anzahl Studierende ]]</f>
        <v>0</v>
      </c>
      <c r="L16" s="8">
        <f>IF(Tabelle28[[#This Row],[Verkehrsmittel]]="Bahn",Tabelle28[[#This Row],[Anzahl Studierende ]]*Tabelle28[[#This Row],[Entfernung (km) gesamt]],0)</f>
        <v>0</v>
      </c>
      <c r="M16" s="8">
        <f>IF(Tabelle28[[#This Row],[Verkehrsmittel]]="PKW",Tabelle28[[#This Row],[Anzahl Studierende ]]*Tabelle28[[#This Row],[Entfernung (km) gesamt]],0)</f>
        <v>0</v>
      </c>
      <c r="N16" s="8">
        <f>IF(Tabelle28[[#This Row],[Verkehrsmittel]]="Flug", IF(AND(Tabelle28[[#This Row],[Entfernung (km) einfach]]&lt;500),Tabelle28[[#This Row],[Entfernung (km) gesamt]]), 0)*Tabelle28[[#This Row],[Anzahl Studierende ]]</f>
        <v>0</v>
      </c>
      <c r="O16" s="8">
        <f>IF(Tabelle28[[#This Row],[Verkehrsmittel]]="Flug", IF(AND(Tabelle28[[#This Row],[Entfernung (km) einfach]]&gt;500,Tabelle28[[#This Row],[Entfernung (km) einfach]]&lt;1000),Tabelle28[[#This Row],[Entfernung (km) gesamt]], 0), 0)*Tabelle28[[#This Row],[Anzahl Studierende ]]</f>
        <v>0</v>
      </c>
      <c r="P16" s="8">
        <f>IF(Tabelle28[[#This Row],[Verkehrsmittel]]="Flug", IF(AND(Tabelle28[[#This Row],[Entfernung (km) einfach]]&gt;1000,Tabelle28[[#This Row],[Entfernung (km) einfach]]&lt;2000),Tabelle28[[#This Row],[Entfernung (km) gesamt]], 0), 0)*Tabelle28[[#This Row],[Anzahl Studierende ]]</f>
        <v>0</v>
      </c>
      <c r="Q16" s="8">
        <f>IF(Tabelle28[[#This Row],[Verkehrsmittel]]="Flug", IF(AND(Tabelle28[[#This Row],[Entfernung (km) einfach]]&gt;2000,Tabelle28[[#This Row],[Entfernung (km) einfach]]&lt;5000),Tabelle28[[#This Row],[Entfernung (km) gesamt]], 0), 0)*Tabelle28[[#This Row],[Anzahl Studierende ]]</f>
        <v>0</v>
      </c>
      <c r="R16" s="8">
        <f>IF(Tabelle28[[#This Row],[Verkehrsmittel]]="Flug", IF(AND(Tabelle28[[#This Row],[Entfernung (km) einfach]]&gt;5000,Tabelle28[[#This Row],[Entfernung (km) einfach]]&lt;10000),Tabelle28[[#This Row],[Entfernung (km) gesamt]], 0), 0)*Tabelle28[[#This Row],[Anzahl Studierende ]]</f>
        <v>0</v>
      </c>
      <c r="S16" s="8">
        <f>IF(Tabelle28[[#This Row],[Verkehrsmittel]]="Flug", IF(AND(Tabelle28[[#This Row],[Entfernung (km) einfach]]&gt;10000),Tabelle28[[#This Row],[Entfernung (km) gesamt]]), 0)*Tabelle28[[#This Row],[Anzahl Studierende ]]</f>
        <v>0</v>
      </c>
      <c r="T16" s="8">
        <f>IF(Tabelle28[[#This Row],[Verkehrsmittel]]="Motorrad",Tabelle28[[#This Row],[Entfernung (km) gesamt]],0)*Tabelle28[[#This Row],[Anzahl Studierende ]]</f>
        <v>0</v>
      </c>
      <c r="U16" s="8">
        <f>IF(Tabelle28[[#This Row],[Verkehrsmittel]]="Straßen-, S-, U-Bahn",Tabelle28[[#This Row],[Entfernung (km) gesamt]],0)*Tabelle28[[#This Row],[Anzahl Studierende ]]</f>
        <v>0</v>
      </c>
      <c r="V16" s="8">
        <f>IF(Tabelle28[[#This Row],[Verkehrsmittel]]="Fahrrad",Tabelle28[[#This Row],[Entfernung (km) gesamt]],0)*Tabelle28[[#This Row],[Anzahl Studierende ]]</f>
        <v>0</v>
      </c>
    </row>
    <row r="17" spans="1:22" s="8" customFormat="1">
      <c r="A17"/>
      <c r="B17" s="159"/>
      <c r="C17" s="111"/>
      <c r="D17" s="160"/>
      <c r="E17" s="111"/>
      <c r="F17" s="111"/>
      <c r="G17" s="111"/>
      <c r="H17" s="111">
        <f>Tabelle28[[#This Row],[Entfernung (km) einfach]]*2</f>
        <v>0</v>
      </c>
      <c r="I17" s="111"/>
      <c r="J17" s="140"/>
      <c r="K17" s="8">
        <f>IF(Tabelle28[[#This Row],[Verkehrsmittel]]="Bus",Tabelle28[[#This Row],[Entfernung (km) gesamt]],0)*Tabelle28[[#This Row],[Anzahl Studierende ]]</f>
        <v>0</v>
      </c>
      <c r="L17" s="8">
        <f>IF(Tabelle28[[#This Row],[Verkehrsmittel]]="Bahn",Tabelle28[[#This Row],[Anzahl Studierende ]]*Tabelle28[[#This Row],[Entfernung (km) gesamt]],0)</f>
        <v>0</v>
      </c>
      <c r="M17" s="8">
        <f>IF(Tabelle28[[#This Row],[Verkehrsmittel]]="PKW",Tabelle28[[#This Row],[Anzahl Studierende ]]*Tabelle28[[#This Row],[Entfernung (km) gesamt]],0)</f>
        <v>0</v>
      </c>
      <c r="N17" s="8">
        <f>IF(Tabelle28[[#This Row],[Verkehrsmittel]]="Flug", IF(AND(Tabelle28[[#This Row],[Entfernung (km) einfach]]&lt;500),Tabelle28[[#This Row],[Entfernung (km) gesamt]]), 0)*Tabelle28[[#This Row],[Anzahl Studierende ]]</f>
        <v>0</v>
      </c>
      <c r="O17" s="8">
        <f>IF(Tabelle28[[#This Row],[Verkehrsmittel]]="Flug", IF(AND(Tabelle28[[#This Row],[Entfernung (km) einfach]]&gt;500,Tabelle28[[#This Row],[Entfernung (km) einfach]]&lt;1000),Tabelle28[[#This Row],[Entfernung (km) gesamt]], 0), 0)*Tabelle28[[#This Row],[Anzahl Studierende ]]</f>
        <v>0</v>
      </c>
      <c r="P17" s="8">
        <f>IF(Tabelle28[[#This Row],[Verkehrsmittel]]="Flug", IF(AND(Tabelle28[[#This Row],[Entfernung (km) einfach]]&gt;1000,Tabelle28[[#This Row],[Entfernung (km) einfach]]&lt;2000),Tabelle28[[#This Row],[Entfernung (km) gesamt]], 0), 0)*Tabelle28[[#This Row],[Anzahl Studierende ]]</f>
        <v>0</v>
      </c>
      <c r="Q17" s="8">
        <f>IF(Tabelle28[[#This Row],[Verkehrsmittel]]="Flug", IF(AND(Tabelle28[[#This Row],[Entfernung (km) einfach]]&gt;2000,Tabelle28[[#This Row],[Entfernung (km) einfach]]&lt;5000),Tabelle28[[#This Row],[Entfernung (km) gesamt]], 0), 0)*Tabelle28[[#This Row],[Anzahl Studierende ]]</f>
        <v>0</v>
      </c>
      <c r="R17" s="8">
        <f>IF(Tabelle28[[#This Row],[Verkehrsmittel]]="Flug", IF(AND(Tabelle28[[#This Row],[Entfernung (km) einfach]]&gt;5000,Tabelle28[[#This Row],[Entfernung (km) einfach]]&lt;10000),Tabelle28[[#This Row],[Entfernung (km) gesamt]], 0), 0)*Tabelle28[[#This Row],[Anzahl Studierende ]]</f>
        <v>0</v>
      </c>
      <c r="S17" s="8">
        <f>IF(Tabelle28[[#This Row],[Verkehrsmittel]]="Flug", IF(AND(Tabelle28[[#This Row],[Entfernung (km) einfach]]&gt;10000),Tabelle28[[#This Row],[Entfernung (km) gesamt]]), 0)*Tabelle28[[#This Row],[Anzahl Studierende ]]</f>
        <v>0</v>
      </c>
      <c r="T17" s="8">
        <f>IF(Tabelle28[[#This Row],[Verkehrsmittel]]="Motorrad",Tabelle28[[#This Row],[Entfernung (km) gesamt]],0)*Tabelle28[[#This Row],[Anzahl Studierende ]]</f>
        <v>0</v>
      </c>
      <c r="U17" s="8">
        <f>IF(Tabelle28[[#This Row],[Verkehrsmittel]]="Straßen-, S-, U-Bahn",Tabelle28[[#This Row],[Entfernung (km) gesamt]],0)*Tabelle28[[#This Row],[Anzahl Studierende ]]</f>
        <v>0</v>
      </c>
      <c r="V17" s="8">
        <f>IF(Tabelle28[[#This Row],[Verkehrsmittel]]="Fahrrad",Tabelle28[[#This Row],[Entfernung (km) gesamt]],0)*Tabelle28[[#This Row],[Anzahl Studierende ]]</f>
        <v>0</v>
      </c>
    </row>
    <row r="18" spans="1:22" s="8" customFormat="1">
      <c r="A18"/>
      <c r="B18" s="159"/>
      <c r="C18" s="111"/>
      <c r="D18" s="160"/>
      <c r="E18" s="111"/>
      <c r="F18" s="111"/>
      <c r="G18" s="111"/>
      <c r="H18" s="111">
        <f>Tabelle28[[#This Row],[Entfernung (km) einfach]]*2</f>
        <v>0</v>
      </c>
      <c r="I18" s="111"/>
      <c r="J18" s="140"/>
      <c r="K18" s="8">
        <f>IF(Tabelle28[[#This Row],[Verkehrsmittel]]="Bus",Tabelle28[[#This Row],[Entfernung (km) gesamt]],0)*Tabelle28[[#This Row],[Anzahl Studierende ]]</f>
        <v>0</v>
      </c>
      <c r="L18" s="8">
        <f>IF(Tabelle28[[#This Row],[Verkehrsmittel]]="Bahn",Tabelle28[[#This Row],[Anzahl Studierende ]]*Tabelle28[[#This Row],[Entfernung (km) gesamt]],0)</f>
        <v>0</v>
      </c>
      <c r="M18" s="8">
        <f>IF(Tabelle28[[#This Row],[Verkehrsmittel]]="PKW",Tabelle28[[#This Row],[Anzahl Studierende ]]*Tabelle28[[#This Row],[Entfernung (km) gesamt]],0)</f>
        <v>0</v>
      </c>
      <c r="N18" s="8">
        <f>IF(Tabelle28[[#This Row],[Verkehrsmittel]]="Flug", IF(AND(Tabelle28[[#This Row],[Entfernung (km) einfach]]&lt;500),Tabelle28[[#This Row],[Entfernung (km) gesamt]]), 0)*Tabelle28[[#This Row],[Anzahl Studierende ]]</f>
        <v>0</v>
      </c>
      <c r="O18" s="8">
        <f>IF(Tabelle28[[#This Row],[Verkehrsmittel]]="Flug", IF(AND(Tabelle28[[#This Row],[Entfernung (km) einfach]]&gt;500,Tabelle28[[#This Row],[Entfernung (km) einfach]]&lt;1000),Tabelle28[[#This Row],[Entfernung (km) gesamt]], 0), 0)*Tabelle28[[#This Row],[Anzahl Studierende ]]</f>
        <v>0</v>
      </c>
      <c r="P18" s="8">
        <f>IF(Tabelle28[[#This Row],[Verkehrsmittel]]="Flug", IF(AND(Tabelle28[[#This Row],[Entfernung (km) einfach]]&gt;1000,Tabelle28[[#This Row],[Entfernung (km) einfach]]&lt;2000),Tabelle28[[#This Row],[Entfernung (km) gesamt]], 0), 0)*Tabelle28[[#This Row],[Anzahl Studierende ]]</f>
        <v>0</v>
      </c>
      <c r="Q18" s="8">
        <f>IF(Tabelle28[[#This Row],[Verkehrsmittel]]="Flug", IF(AND(Tabelle28[[#This Row],[Entfernung (km) einfach]]&gt;2000,Tabelle28[[#This Row],[Entfernung (km) einfach]]&lt;5000),Tabelle28[[#This Row],[Entfernung (km) gesamt]], 0), 0)*Tabelle28[[#This Row],[Anzahl Studierende ]]</f>
        <v>0</v>
      </c>
      <c r="R18" s="8">
        <f>IF(Tabelle28[[#This Row],[Verkehrsmittel]]="Flug", IF(AND(Tabelle28[[#This Row],[Entfernung (km) einfach]]&gt;5000,Tabelle28[[#This Row],[Entfernung (km) einfach]]&lt;10000),Tabelle28[[#This Row],[Entfernung (km) gesamt]], 0), 0)*Tabelle28[[#This Row],[Anzahl Studierende ]]</f>
        <v>0</v>
      </c>
      <c r="S18" s="8">
        <f>IF(Tabelle28[[#This Row],[Verkehrsmittel]]="Flug", IF(AND(Tabelle28[[#This Row],[Entfernung (km) einfach]]&gt;10000),Tabelle28[[#This Row],[Entfernung (km) gesamt]]), 0)*Tabelle28[[#This Row],[Anzahl Studierende ]]</f>
        <v>0</v>
      </c>
      <c r="T18" s="8">
        <f>IF(Tabelle28[[#This Row],[Verkehrsmittel]]="Motorrad",Tabelle28[[#This Row],[Entfernung (km) gesamt]],0)*Tabelle28[[#This Row],[Anzahl Studierende ]]</f>
        <v>0</v>
      </c>
      <c r="U18" s="8">
        <f>IF(Tabelle28[[#This Row],[Verkehrsmittel]]="Straßen-, S-, U-Bahn",Tabelle28[[#This Row],[Entfernung (km) gesamt]],0)*Tabelle28[[#This Row],[Anzahl Studierende ]]</f>
        <v>0</v>
      </c>
      <c r="V18" s="8">
        <f>IF(Tabelle28[[#This Row],[Verkehrsmittel]]="Fahrrad",Tabelle28[[#This Row],[Entfernung (km) gesamt]],0)*Tabelle28[[#This Row],[Anzahl Studierende ]]</f>
        <v>0</v>
      </c>
    </row>
    <row r="19" spans="1:22" s="8" customFormat="1">
      <c r="A19"/>
      <c r="B19" s="159"/>
      <c r="C19" s="111"/>
      <c r="D19" s="160"/>
      <c r="E19" s="111"/>
      <c r="F19" s="111"/>
      <c r="G19" s="111"/>
      <c r="H19" s="111">
        <f>Tabelle28[[#This Row],[Entfernung (km) einfach]]*2</f>
        <v>0</v>
      </c>
      <c r="I19" s="111"/>
      <c r="J19" s="140"/>
      <c r="K19" s="8">
        <f>IF(Tabelle28[[#This Row],[Verkehrsmittel]]="Bus",Tabelle28[[#This Row],[Entfernung (km) gesamt]],0)*Tabelle28[[#This Row],[Anzahl Studierende ]]</f>
        <v>0</v>
      </c>
      <c r="L19" s="8">
        <f>IF(Tabelle28[[#This Row],[Verkehrsmittel]]="Bahn",Tabelle28[[#This Row],[Anzahl Studierende ]]*Tabelle28[[#This Row],[Entfernung (km) gesamt]],0)</f>
        <v>0</v>
      </c>
      <c r="M19" s="8">
        <f>IF(Tabelle28[[#This Row],[Verkehrsmittel]]="PKW",Tabelle28[[#This Row],[Anzahl Studierende ]]*Tabelle28[[#This Row],[Entfernung (km) gesamt]],0)</f>
        <v>0</v>
      </c>
      <c r="N19" s="8">
        <f>IF(Tabelle28[[#This Row],[Verkehrsmittel]]="Flug", IF(AND(Tabelle28[[#This Row],[Entfernung (km) einfach]]&lt;500),Tabelle28[[#This Row],[Entfernung (km) gesamt]]), 0)*Tabelle28[[#This Row],[Anzahl Studierende ]]</f>
        <v>0</v>
      </c>
      <c r="O19" s="8">
        <f>IF(Tabelle28[[#This Row],[Verkehrsmittel]]="Flug", IF(AND(Tabelle28[[#This Row],[Entfernung (km) einfach]]&gt;500,Tabelle28[[#This Row],[Entfernung (km) einfach]]&lt;1000),Tabelle28[[#This Row],[Entfernung (km) gesamt]], 0), 0)*Tabelle28[[#This Row],[Anzahl Studierende ]]</f>
        <v>0</v>
      </c>
      <c r="P19" s="8">
        <f>IF(Tabelle28[[#This Row],[Verkehrsmittel]]="Flug", IF(AND(Tabelle28[[#This Row],[Entfernung (km) einfach]]&gt;1000,Tabelle28[[#This Row],[Entfernung (km) einfach]]&lt;2000),Tabelle28[[#This Row],[Entfernung (km) gesamt]], 0), 0)*Tabelle28[[#This Row],[Anzahl Studierende ]]</f>
        <v>0</v>
      </c>
      <c r="Q19" s="8">
        <f>IF(Tabelle28[[#This Row],[Verkehrsmittel]]="Flug", IF(AND(Tabelle28[[#This Row],[Entfernung (km) einfach]]&gt;2000,Tabelle28[[#This Row],[Entfernung (km) einfach]]&lt;5000),Tabelle28[[#This Row],[Entfernung (km) gesamt]], 0), 0)*Tabelle28[[#This Row],[Anzahl Studierende ]]</f>
        <v>0</v>
      </c>
      <c r="R19" s="8">
        <f>IF(Tabelle28[[#This Row],[Verkehrsmittel]]="Flug", IF(AND(Tabelle28[[#This Row],[Entfernung (km) einfach]]&gt;5000,Tabelle28[[#This Row],[Entfernung (km) einfach]]&lt;10000),Tabelle28[[#This Row],[Entfernung (km) gesamt]], 0), 0)*Tabelle28[[#This Row],[Anzahl Studierende ]]</f>
        <v>0</v>
      </c>
      <c r="S19" s="8">
        <f>IF(Tabelle28[[#This Row],[Verkehrsmittel]]="Flug", IF(AND(Tabelle28[[#This Row],[Entfernung (km) einfach]]&gt;10000),Tabelle28[[#This Row],[Entfernung (km) gesamt]]), 0)*Tabelle28[[#This Row],[Anzahl Studierende ]]</f>
        <v>0</v>
      </c>
      <c r="T19" s="8">
        <f>IF(Tabelle28[[#This Row],[Verkehrsmittel]]="Motorrad",Tabelle28[[#This Row],[Entfernung (km) gesamt]],0)*Tabelle28[[#This Row],[Anzahl Studierende ]]</f>
        <v>0</v>
      </c>
      <c r="U19" s="8">
        <f>IF(Tabelle28[[#This Row],[Verkehrsmittel]]="Straßen-, S-, U-Bahn",Tabelle28[[#This Row],[Entfernung (km) gesamt]],0)*Tabelle28[[#This Row],[Anzahl Studierende ]]</f>
        <v>0</v>
      </c>
      <c r="V19" s="8">
        <f>IF(Tabelle28[[#This Row],[Verkehrsmittel]]="Fahrrad",Tabelle28[[#This Row],[Entfernung (km) gesamt]],0)*Tabelle28[[#This Row],[Anzahl Studierende ]]</f>
        <v>0</v>
      </c>
    </row>
    <row r="20" spans="1:22" s="8" customFormat="1">
      <c r="A20"/>
      <c r="B20" s="138"/>
      <c r="C20" s="139"/>
      <c r="D20" s="160"/>
      <c r="E20" s="111"/>
      <c r="F20" s="111"/>
      <c r="G20" s="111"/>
      <c r="H20" s="111">
        <f>Tabelle28[[#This Row],[Entfernung (km) einfach]]*2</f>
        <v>0</v>
      </c>
      <c r="I20" s="111"/>
      <c r="J20" s="140"/>
      <c r="K20" s="8">
        <f>IF(Tabelle28[[#This Row],[Verkehrsmittel]]="Bus",Tabelle28[[#This Row],[Entfernung (km) gesamt]],0)*Tabelle28[[#This Row],[Anzahl Studierende ]]</f>
        <v>0</v>
      </c>
      <c r="L20" s="8">
        <f>IF(Tabelle28[[#This Row],[Verkehrsmittel]]="Bahn",Tabelle28[[#This Row],[Anzahl Studierende ]]*Tabelle28[[#This Row],[Entfernung (km) gesamt]],0)</f>
        <v>0</v>
      </c>
      <c r="M20" s="8">
        <f>IF(Tabelle28[[#This Row],[Verkehrsmittel]]="PKW",Tabelle28[[#This Row],[Anzahl Studierende ]]*Tabelle28[[#This Row],[Entfernung (km) gesamt]],0)</f>
        <v>0</v>
      </c>
      <c r="N20" s="8">
        <f>IF(Tabelle28[[#This Row],[Verkehrsmittel]]="Flug", IF(AND(Tabelle28[[#This Row],[Entfernung (km) einfach]]&lt;500),Tabelle28[[#This Row],[Entfernung (km) gesamt]]), 0)*Tabelle28[[#This Row],[Anzahl Studierende ]]</f>
        <v>0</v>
      </c>
      <c r="O20" s="8">
        <f>IF(Tabelle28[[#This Row],[Verkehrsmittel]]="Flug", IF(AND(Tabelle28[[#This Row],[Entfernung (km) einfach]]&gt;500,Tabelle28[[#This Row],[Entfernung (km) einfach]]&lt;1000),Tabelle28[[#This Row],[Entfernung (km) gesamt]], 0), 0)*Tabelle28[[#This Row],[Anzahl Studierende ]]</f>
        <v>0</v>
      </c>
      <c r="P20" s="8">
        <f>IF(Tabelle28[[#This Row],[Verkehrsmittel]]="Flug", IF(AND(Tabelle28[[#This Row],[Entfernung (km) einfach]]&gt;1000,Tabelle28[[#This Row],[Entfernung (km) einfach]]&lt;2000),Tabelle28[[#This Row],[Entfernung (km) gesamt]], 0), 0)*Tabelle28[[#This Row],[Anzahl Studierende ]]</f>
        <v>0</v>
      </c>
      <c r="Q20" s="8">
        <f>IF(Tabelle28[[#This Row],[Verkehrsmittel]]="Flug", IF(AND(Tabelle28[[#This Row],[Entfernung (km) einfach]]&gt;2000,Tabelle28[[#This Row],[Entfernung (km) einfach]]&lt;5000),Tabelle28[[#This Row],[Entfernung (km) gesamt]], 0), 0)*Tabelle28[[#This Row],[Anzahl Studierende ]]</f>
        <v>0</v>
      </c>
      <c r="R20" s="8">
        <f>IF(Tabelle28[[#This Row],[Verkehrsmittel]]="Flug", IF(AND(Tabelle28[[#This Row],[Entfernung (km) einfach]]&gt;5000,Tabelle28[[#This Row],[Entfernung (km) einfach]]&lt;10000),Tabelle28[[#This Row],[Entfernung (km) gesamt]], 0), 0)*Tabelle28[[#This Row],[Anzahl Studierende ]]</f>
        <v>0</v>
      </c>
      <c r="S20" s="8">
        <f>IF(Tabelle28[[#This Row],[Verkehrsmittel]]="Flug", IF(AND(Tabelle28[[#This Row],[Entfernung (km) einfach]]&gt;10000),Tabelle28[[#This Row],[Entfernung (km) gesamt]]), 0)*Tabelle28[[#This Row],[Anzahl Studierende ]]</f>
        <v>0</v>
      </c>
      <c r="T20" s="8">
        <f>IF(Tabelle28[[#This Row],[Verkehrsmittel]]="Motorrad",Tabelle28[[#This Row],[Entfernung (km) gesamt]],0)*Tabelle28[[#This Row],[Anzahl Studierende ]]</f>
        <v>0</v>
      </c>
      <c r="U20" s="8">
        <f>IF(Tabelle28[[#This Row],[Verkehrsmittel]]="Straßen-, S-, U-Bahn",Tabelle28[[#This Row],[Entfernung (km) gesamt]],0)*Tabelle28[[#This Row],[Anzahl Studierende ]]</f>
        <v>0</v>
      </c>
      <c r="V20" s="8">
        <f>IF(Tabelle28[[#This Row],[Verkehrsmittel]]="Fahrrad",Tabelle28[[#This Row],[Entfernung (km) gesamt]],0)*Tabelle28[[#This Row],[Anzahl Studierende ]]</f>
        <v>0</v>
      </c>
    </row>
    <row r="21" spans="1:22" s="8" customFormat="1">
      <c r="A21"/>
      <c r="B21" s="138"/>
      <c r="C21" s="139"/>
      <c r="D21" s="160"/>
      <c r="E21" s="111"/>
      <c r="F21" s="111"/>
      <c r="G21" s="111"/>
      <c r="H21" s="111">
        <f>Tabelle28[[#This Row],[Entfernung (km) einfach]]*2</f>
        <v>0</v>
      </c>
      <c r="I21" s="111"/>
      <c r="J21" s="140"/>
      <c r="K21" s="8">
        <f>IF(Tabelle28[[#This Row],[Verkehrsmittel]]="Bus",Tabelle28[[#This Row],[Entfernung (km) gesamt]],0)*Tabelle28[[#This Row],[Anzahl Studierende ]]</f>
        <v>0</v>
      </c>
      <c r="L21" s="8">
        <f>IF(Tabelle28[[#This Row],[Verkehrsmittel]]="Bahn",Tabelle28[[#This Row],[Anzahl Studierende ]]*Tabelle28[[#This Row],[Entfernung (km) gesamt]],0)</f>
        <v>0</v>
      </c>
      <c r="M21" s="8">
        <f>IF(Tabelle28[[#This Row],[Verkehrsmittel]]="PKW",Tabelle28[[#This Row],[Anzahl Studierende ]]*Tabelle28[[#This Row],[Entfernung (km) gesamt]],0)</f>
        <v>0</v>
      </c>
      <c r="N21" s="8">
        <f>IF(Tabelle28[[#This Row],[Verkehrsmittel]]="Flug", IF(AND(Tabelle28[[#This Row],[Entfernung (km) einfach]]&lt;500),Tabelle28[[#This Row],[Entfernung (km) gesamt]]), 0)*Tabelle28[[#This Row],[Anzahl Studierende ]]</f>
        <v>0</v>
      </c>
      <c r="O21" s="8">
        <f>IF(Tabelle28[[#This Row],[Verkehrsmittel]]="Flug", IF(AND(Tabelle28[[#This Row],[Entfernung (km) einfach]]&gt;500,Tabelle28[[#This Row],[Entfernung (km) einfach]]&lt;1000),Tabelle28[[#This Row],[Entfernung (km) gesamt]], 0), 0)*Tabelle28[[#This Row],[Anzahl Studierende ]]</f>
        <v>0</v>
      </c>
      <c r="P21" s="8">
        <f>IF(Tabelle28[[#This Row],[Verkehrsmittel]]="Flug", IF(AND(Tabelle28[[#This Row],[Entfernung (km) einfach]]&gt;1000,Tabelle28[[#This Row],[Entfernung (km) einfach]]&lt;2000),Tabelle28[[#This Row],[Entfernung (km) gesamt]], 0), 0)*Tabelle28[[#This Row],[Anzahl Studierende ]]</f>
        <v>0</v>
      </c>
      <c r="Q21" s="8">
        <f>IF(Tabelle28[[#This Row],[Verkehrsmittel]]="Flug", IF(AND(Tabelle28[[#This Row],[Entfernung (km) einfach]]&gt;2000,Tabelle28[[#This Row],[Entfernung (km) einfach]]&lt;5000),Tabelle28[[#This Row],[Entfernung (km) gesamt]], 0), 0)*Tabelle28[[#This Row],[Anzahl Studierende ]]</f>
        <v>0</v>
      </c>
      <c r="R21" s="8">
        <f>IF(Tabelle28[[#This Row],[Verkehrsmittel]]="Flug", IF(AND(Tabelle28[[#This Row],[Entfernung (km) einfach]]&gt;5000,Tabelle28[[#This Row],[Entfernung (km) einfach]]&lt;10000),Tabelle28[[#This Row],[Entfernung (km) gesamt]], 0), 0)*Tabelle28[[#This Row],[Anzahl Studierende ]]</f>
        <v>0</v>
      </c>
      <c r="S21" s="8">
        <f>IF(Tabelle28[[#This Row],[Verkehrsmittel]]="Flug", IF(AND(Tabelle28[[#This Row],[Entfernung (km) einfach]]&gt;10000),Tabelle28[[#This Row],[Entfernung (km) gesamt]]), 0)*Tabelle28[[#This Row],[Anzahl Studierende ]]</f>
        <v>0</v>
      </c>
      <c r="T21" s="8">
        <f>IF(Tabelle28[[#This Row],[Verkehrsmittel]]="Motorrad",Tabelle28[[#This Row],[Entfernung (km) gesamt]],0)*Tabelle28[[#This Row],[Anzahl Studierende ]]</f>
        <v>0</v>
      </c>
      <c r="U21" s="8">
        <f>IF(Tabelle28[[#This Row],[Verkehrsmittel]]="Straßen-, S-, U-Bahn",Tabelle28[[#This Row],[Entfernung (km) gesamt]],0)*Tabelle28[[#This Row],[Anzahl Studierende ]]</f>
        <v>0</v>
      </c>
      <c r="V21" s="8">
        <f>IF(Tabelle28[[#This Row],[Verkehrsmittel]]="Fahrrad",Tabelle28[[#This Row],[Entfernung (km) gesamt]],0)*Tabelle28[[#This Row],[Anzahl Studierende ]]</f>
        <v>0</v>
      </c>
    </row>
    <row r="22" spans="1:22" s="8" customFormat="1">
      <c r="A22"/>
      <c r="B22" s="138"/>
      <c r="C22" s="139"/>
      <c r="D22" s="161"/>
      <c r="E22" s="111"/>
      <c r="F22" s="111"/>
      <c r="G22" s="111"/>
      <c r="H22" s="111">
        <f>Tabelle28[[#This Row],[Entfernung (km) einfach]]*2</f>
        <v>0</v>
      </c>
      <c r="I22" s="111"/>
      <c r="J22" s="140"/>
      <c r="K22" s="8">
        <f>IF(Tabelle28[[#This Row],[Verkehrsmittel]]="Bus",Tabelle28[[#This Row],[Entfernung (km) gesamt]],0)*Tabelle28[[#This Row],[Anzahl Studierende ]]</f>
        <v>0</v>
      </c>
      <c r="L22" s="8">
        <f>IF(Tabelle28[[#This Row],[Verkehrsmittel]]="Bahn",Tabelle28[[#This Row],[Anzahl Studierende ]]*Tabelle28[[#This Row],[Entfernung (km) gesamt]],0)</f>
        <v>0</v>
      </c>
      <c r="M22" s="8">
        <f>IF(Tabelle28[[#This Row],[Verkehrsmittel]]="PKW",Tabelle28[[#This Row],[Anzahl Studierende ]]*Tabelle28[[#This Row],[Entfernung (km) gesamt]],0)</f>
        <v>0</v>
      </c>
      <c r="N22" s="8">
        <f>IF(Tabelle28[[#This Row],[Verkehrsmittel]]="Flug", IF(AND(Tabelle28[[#This Row],[Entfernung (km) einfach]]&lt;500),Tabelle28[[#This Row],[Entfernung (km) gesamt]]), 0)*Tabelle28[[#This Row],[Anzahl Studierende ]]</f>
        <v>0</v>
      </c>
      <c r="O22" s="8">
        <f>IF(Tabelle28[[#This Row],[Verkehrsmittel]]="Flug", IF(AND(Tabelle28[[#This Row],[Entfernung (km) einfach]]&gt;500,Tabelle28[[#This Row],[Entfernung (km) einfach]]&lt;1000),Tabelle28[[#This Row],[Entfernung (km) gesamt]], 0), 0)*Tabelle28[[#This Row],[Anzahl Studierende ]]</f>
        <v>0</v>
      </c>
      <c r="P22" s="8">
        <f>IF(Tabelle28[[#This Row],[Verkehrsmittel]]="Flug", IF(AND(Tabelle28[[#This Row],[Entfernung (km) einfach]]&gt;1000,Tabelle28[[#This Row],[Entfernung (km) einfach]]&lt;2000),Tabelle28[[#This Row],[Entfernung (km) gesamt]], 0), 0)*Tabelle28[[#This Row],[Anzahl Studierende ]]</f>
        <v>0</v>
      </c>
      <c r="Q22" s="8">
        <f>IF(Tabelle28[[#This Row],[Verkehrsmittel]]="Flug", IF(AND(Tabelle28[[#This Row],[Entfernung (km) einfach]]&gt;2000,Tabelle28[[#This Row],[Entfernung (km) einfach]]&lt;5000),Tabelle28[[#This Row],[Entfernung (km) gesamt]], 0), 0)*Tabelle28[[#This Row],[Anzahl Studierende ]]</f>
        <v>0</v>
      </c>
      <c r="R22" s="8">
        <f>IF(Tabelle28[[#This Row],[Verkehrsmittel]]="Flug", IF(AND(Tabelle28[[#This Row],[Entfernung (km) einfach]]&gt;5000,Tabelle28[[#This Row],[Entfernung (km) einfach]]&lt;10000),Tabelle28[[#This Row],[Entfernung (km) gesamt]], 0), 0)*Tabelle28[[#This Row],[Anzahl Studierende ]]</f>
        <v>0</v>
      </c>
      <c r="S22" s="8">
        <f>IF(Tabelle28[[#This Row],[Verkehrsmittel]]="Flug", IF(AND(Tabelle28[[#This Row],[Entfernung (km) einfach]]&gt;10000),Tabelle28[[#This Row],[Entfernung (km) gesamt]]), 0)*Tabelle28[[#This Row],[Anzahl Studierende ]]</f>
        <v>0</v>
      </c>
      <c r="T22" s="8">
        <f>IF(Tabelle28[[#This Row],[Verkehrsmittel]]="Motorrad",Tabelle28[[#This Row],[Entfernung (km) gesamt]],0)*Tabelle28[[#This Row],[Anzahl Studierende ]]</f>
        <v>0</v>
      </c>
      <c r="U22" s="8">
        <f>IF(Tabelle28[[#This Row],[Verkehrsmittel]]="Straßen-, S-, U-Bahn",Tabelle28[[#This Row],[Entfernung (km) gesamt]],0)*Tabelle28[[#This Row],[Anzahl Studierende ]]</f>
        <v>0</v>
      </c>
      <c r="V22" s="8">
        <f>IF(Tabelle28[[#This Row],[Verkehrsmittel]]="Fahrrad",Tabelle28[[#This Row],[Entfernung (km) gesamt]],0)*Tabelle28[[#This Row],[Anzahl Studierende ]]</f>
        <v>0</v>
      </c>
    </row>
    <row r="23" spans="1:22" s="8" customFormat="1">
      <c r="A23"/>
      <c r="B23" s="138"/>
      <c r="C23" s="139"/>
      <c r="D23" s="160"/>
      <c r="E23" s="111"/>
      <c r="F23" s="111"/>
      <c r="G23" s="111"/>
      <c r="H23" s="111">
        <f>Tabelle28[[#This Row],[Entfernung (km) einfach]]*2</f>
        <v>0</v>
      </c>
      <c r="I23" s="111"/>
      <c r="J23" s="140"/>
      <c r="K23" s="8">
        <f>IF(Tabelle28[[#This Row],[Verkehrsmittel]]="Bus",Tabelle28[[#This Row],[Entfernung (km) gesamt]],0)*Tabelle28[[#This Row],[Anzahl Studierende ]]</f>
        <v>0</v>
      </c>
      <c r="L23" s="8">
        <f>IF(Tabelle28[[#This Row],[Verkehrsmittel]]="Bahn",Tabelle28[[#This Row],[Anzahl Studierende ]]*Tabelle28[[#This Row],[Entfernung (km) gesamt]],0)</f>
        <v>0</v>
      </c>
      <c r="M23" s="8">
        <f>IF(Tabelle28[[#This Row],[Verkehrsmittel]]="PKW",Tabelle28[[#This Row],[Anzahl Studierende ]]*Tabelle28[[#This Row],[Entfernung (km) gesamt]],0)</f>
        <v>0</v>
      </c>
      <c r="N23" s="8">
        <f>IF(Tabelle28[[#This Row],[Verkehrsmittel]]="Flug", IF(AND(Tabelle28[[#This Row],[Entfernung (km) einfach]]&lt;500),Tabelle28[[#This Row],[Entfernung (km) gesamt]]), 0)*Tabelle28[[#This Row],[Anzahl Studierende ]]</f>
        <v>0</v>
      </c>
      <c r="O23" s="8">
        <f>IF(Tabelle28[[#This Row],[Verkehrsmittel]]="Flug", IF(AND(Tabelle28[[#This Row],[Entfernung (km) einfach]]&gt;500,Tabelle28[[#This Row],[Entfernung (km) einfach]]&lt;1000),Tabelle28[[#This Row],[Entfernung (km) gesamt]], 0), 0)*Tabelle28[[#This Row],[Anzahl Studierende ]]</f>
        <v>0</v>
      </c>
      <c r="P23" s="8">
        <f>IF(Tabelle28[[#This Row],[Verkehrsmittel]]="Flug", IF(AND(Tabelle28[[#This Row],[Entfernung (km) einfach]]&gt;1000,Tabelle28[[#This Row],[Entfernung (km) einfach]]&lt;2000),Tabelle28[[#This Row],[Entfernung (km) gesamt]], 0), 0)*Tabelle28[[#This Row],[Anzahl Studierende ]]</f>
        <v>0</v>
      </c>
      <c r="Q23" s="8">
        <f>IF(Tabelle28[[#This Row],[Verkehrsmittel]]="Flug", IF(AND(Tabelle28[[#This Row],[Entfernung (km) einfach]]&gt;2000,Tabelle28[[#This Row],[Entfernung (km) einfach]]&lt;5000),Tabelle28[[#This Row],[Entfernung (km) gesamt]], 0), 0)*Tabelle28[[#This Row],[Anzahl Studierende ]]</f>
        <v>0</v>
      </c>
      <c r="R23" s="8">
        <f>IF(Tabelle28[[#This Row],[Verkehrsmittel]]="Flug", IF(AND(Tabelle28[[#This Row],[Entfernung (km) einfach]]&gt;5000,Tabelle28[[#This Row],[Entfernung (km) einfach]]&lt;10000),Tabelle28[[#This Row],[Entfernung (km) gesamt]], 0), 0)*Tabelle28[[#This Row],[Anzahl Studierende ]]</f>
        <v>0</v>
      </c>
      <c r="S23" s="8">
        <f>IF(Tabelle28[[#This Row],[Verkehrsmittel]]="Flug", IF(AND(Tabelle28[[#This Row],[Entfernung (km) einfach]]&gt;10000),Tabelle28[[#This Row],[Entfernung (km) gesamt]]), 0)*Tabelle28[[#This Row],[Anzahl Studierende ]]</f>
        <v>0</v>
      </c>
      <c r="T23" s="8">
        <f>IF(Tabelle28[[#This Row],[Verkehrsmittel]]="Motorrad",Tabelle28[[#This Row],[Entfernung (km) gesamt]],0)*Tabelle28[[#This Row],[Anzahl Studierende ]]</f>
        <v>0</v>
      </c>
      <c r="U23" s="8">
        <f>IF(Tabelle28[[#This Row],[Verkehrsmittel]]="Straßen-, S-, U-Bahn",Tabelle28[[#This Row],[Entfernung (km) gesamt]],0)*Tabelle28[[#This Row],[Anzahl Studierende ]]</f>
        <v>0</v>
      </c>
      <c r="V23" s="8">
        <f>IF(Tabelle28[[#This Row],[Verkehrsmittel]]="Fahrrad",Tabelle28[[#This Row],[Entfernung (km) gesamt]],0)*Tabelle28[[#This Row],[Anzahl Studierende ]]</f>
        <v>0</v>
      </c>
    </row>
    <row r="24" spans="1:22" s="8" customFormat="1">
      <c r="B24" s="138"/>
      <c r="C24" s="139"/>
      <c r="D24" s="160"/>
      <c r="E24" s="111"/>
      <c r="F24" s="111"/>
      <c r="G24" s="111"/>
      <c r="H24" s="111">
        <f>Tabelle28[[#This Row],[Entfernung (km) einfach]]*2</f>
        <v>0</v>
      </c>
      <c r="I24" s="111"/>
      <c r="J24" s="140"/>
      <c r="K24" s="8">
        <f>IF(Tabelle28[[#This Row],[Verkehrsmittel]]="Bus",Tabelle28[[#This Row],[Entfernung (km) gesamt]],0)*Tabelle28[[#This Row],[Anzahl Studierende ]]</f>
        <v>0</v>
      </c>
      <c r="L24" s="8">
        <f>IF(Tabelle28[[#This Row],[Verkehrsmittel]]="Bahn",Tabelle28[[#This Row],[Anzahl Studierende ]]*Tabelle28[[#This Row],[Entfernung (km) gesamt]],0)</f>
        <v>0</v>
      </c>
      <c r="M24" s="8">
        <f>IF(Tabelle28[[#This Row],[Verkehrsmittel]]="PKW",Tabelle28[[#This Row],[Anzahl Studierende ]]*Tabelle28[[#This Row],[Entfernung (km) gesamt]],0)</f>
        <v>0</v>
      </c>
      <c r="N24" s="8">
        <f>IF(Tabelle28[[#This Row],[Verkehrsmittel]]="Flug", IF(AND(Tabelle28[[#This Row],[Entfernung (km) einfach]]&lt;500),Tabelle28[[#This Row],[Entfernung (km) gesamt]]), 0)*Tabelle28[[#This Row],[Anzahl Studierende ]]</f>
        <v>0</v>
      </c>
      <c r="O24" s="8">
        <f>IF(Tabelle28[[#This Row],[Verkehrsmittel]]="Flug", IF(AND(Tabelle28[[#This Row],[Entfernung (km) einfach]]&gt;500,Tabelle28[[#This Row],[Entfernung (km) einfach]]&lt;1000),Tabelle28[[#This Row],[Entfernung (km) gesamt]], 0), 0)*Tabelle28[[#This Row],[Anzahl Studierende ]]</f>
        <v>0</v>
      </c>
      <c r="P24" s="8">
        <f>IF(Tabelle28[[#This Row],[Verkehrsmittel]]="Flug", IF(AND(Tabelle28[[#This Row],[Entfernung (km) einfach]]&gt;1000,Tabelle28[[#This Row],[Entfernung (km) einfach]]&lt;2000),Tabelle28[[#This Row],[Entfernung (km) gesamt]], 0), 0)*Tabelle28[[#This Row],[Anzahl Studierende ]]</f>
        <v>0</v>
      </c>
      <c r="Q24" s="8">
        <f>IF(Tabelle28[[#This Row],[Verkehrsmittel]]="Flug", IF(AND(Tabelle28[[#This Row],[Entfernung (km) einfach]]&gt;2000,Tabelle28[[#This Row],[Entfernung (km) einfach]]&lt;5000),Tabelle28[[#This Row],[Entfernung (km) gesamt]], 0), 0)*Tabelle28[[#This Row],[Anzahl Studierende ]]</f>
        <v>0</v>
      </c>
      <c r="R24" s="8">
        <f>IF(Tabelle28[[#This Row],[Verkehrsmittel]]="Flug", IF(AND(Tabelle28[[#This Row],[Entfernung (km) einfach]]&gt;5000,Tabelle28[[#This Row],[Entfernung (km) einfach]]&lt;10000),Tabelle28[[#This Row],[Entfernung (km) gesamt]], 0), 0)*Tabelle28[[#This Row],[Anzahl Studierende ]]</f>
        <v>0</v>
      </c>
      <c r="S24" s="8">
        <f>IF(Tabelle28[[#This Row],[Verkehrsmittel]]="Flug", IF(AND(Tabelle28[[#This Row],[Entfernung (km) einfach]]&gt;10000),Tabelle28[[#This Row],[Entfernung (km) gesamt]]), 0)*Tabelle28[[#This Row],[Anzahl Studierende ]]</f>
        <v>0</v>
      </c>
      <c r="T24" s="8">
        <f>IF(Tabelle28[[#This Row],[Verkehrsmittel]]="Motorrad",Tabelle28[[#This Row],[Entfernung (km) gesamt]],0)*Tabelle28[[#This Row],[Anzahl Studierende ]]</f>
        <v>0</v>
      </c>
      <c r="U24" s="8">
        <f>IF(Tabelle28[[#This Row],[Verkehrsmittel]]="Straßen-, S-, U-Bahn",Tabelle28[[#This Row],[Entfernung (km) gesamt]],0)*Tabelle28[[#This Row],[Anzahl Studierende ]]</f>
        <v>0</v>
      </c>
      <c r="V24" s="8">
        <f>IF(Tabelle28[[#This Row],[Verkehrsmittel]]="Fahrrad",Tabelle28[[#This Row],[Entfernung (km) gesamt]],0)*Tabelle28[[#This Row],[Anzahl Studierende ]]</f>
        <v>0</v>
      </c>
    </row>
    <row r="25" spans="1:22" s="8" customFormat="1">
      <c r="B25" s="138"/>
      <c r="C25" s="139"/>
      <c r="D25" s="160"/>
      <c r="E25" s="111"/>
      <c r="F25" s="111"/>
      <c r="G25" s="111"/>
      <c r="H25" s="111">
        <f>Tabelle28[[#This Row],[Entfernung (km) einfach]]*2</f>
        <v>0</v>
      </c>
      <c r="I25" s="111"/>
      <c r="J25" s="140"/>
      <c r="K25" s="8">
        <f>IF(Tabelle28[[#This Row],[Verkehrsmittel]]="Bus",Tabelle28[[#This Row],[Entfernung (km) gesamt]],0)*Tabelle28[[#This Row],[Anzahl Studierende ]]</f>
        <v>0</v>
      </c>
      <c r="L25" s="8">
        <f>IF(Tabelle28[[#This Row],[Verkehrsmittel]]="Bahn",Tabelle28[[#This Row],[Anzahl Studierende ]]*Tabelle28[[#This Row],[Entfernung (km) gesamt]],0)</f>
        <v>0</v>
      </c>
      <c r="M25" s="8">
        <f>IF(Tabelle28[[#This Row],[Verkehrsmittel]]="PKW",Tabelle28[[#This Row],[Anzahl Studierende ]]*Tabelle28[[#This Row],[Entfernung (km) gesamt]],0)</f>
        <v>0</v>
      </c>
      <c r="N25" s="8">
        <f>IF(Tabelle28[[#This Row],[Verkehrsmittel]]="Flug", IF(AND(Tabelle28[[#This Row],[Entfernung (km) einfach]]&lt;500),Tabelle28[[#This Row],[Entfernung (km) gesamt]]), 0)*Tabelle28[[#This Row],[Anzahl Studierende ]]</f>
        <v>0</v>
      </c>
      <c r="O25" s="8">
        <f>IF(Tabelle28[[#This Row],[Verkehrsmittel]]="Flug", IF(AND(Tabelle28[[#This Row],[Entfernung (km) einfach]]&gt;500,Tabelle28[[#This Row],[Entfernung (km) einfach]]&lt;1000),Tabelle28[[#This Row],[Entfernung (km) gesamt]], 0), 0)*Tabelle28[[#This Row],[Anzahl Studierende ]]</f>
        <v>0</v>
      </c>
      <c r="P25" s="8">
        <f>IF(Tabelle28[[#This Row],[Verkehrsmittel]]="Flug", IF(AND(Tabelle28[[#This Row],[Entfernung (km) einfach]]&gt;1000,Tabelle28[[#This Row],[Entfernung (km) einfach]]&lt;2000),Tabelle28[[#This Row],[Entfernung (km) gesamt]], 0), 0)*Tabelle28[[#This Row],[Anzahl Studierende ]]</f>
        <v>0</v>
      </c>
      <c r="Q25" s="8">
        <f>IF(Tabelle28[[#This Row],[Verkehrsmittel]]="Flug", IF(AND(Tabelle28[[#This Row],[Entfernung (km) einfach]]&gt;2000,Tabelle28[[#This Row],[Entfernung (km) einfach]]&lt;5000),Tabelle28[[#This Row],[Entfernung (km) gesamt]], 0), 0)*Tabelle28[[#This Row],[Anzahl Studierende ]]</f>
        <v>0</v>
      </c>
      <c r="R25" s="8">
        <f>IF(Tabelle28[[#This Row],[Verkehrsmittel]]="Flug", IF(AND(Tabelle28[[#This Row],[Entfernung (km) einfach]]&gt;5000,Tabelle28[[#This Row],[Entfernung (km) einfach]]&lt;10000),Tabelle28[[#This Row],[Entfernung (km) gesamt]], 0), 0)*Tabelle28[[#This Row],[Anzahl Studierende ]]</f>
        <v>0</v>
      </c>
      <c r="S25" s="8">
        <f>IF(Tabelle28[[#This Row],[Verkehrsmittel]]="Flug", IF(AND(Tabelle28[[#This Row],[Entfernung (km) einfach]]&gt;10000),Tabelle28[[#This Row],[Entfernung (km) gesamt]]), 0)*Tabelle28[[#This Row],[Anzahl Studierende ]]</f>
        <v>0</v>
      </c>
      <c r="T25" s="8">
        <f>IF(Tabelle28[[#This Row],[Verkehrsmittel]]="Motorrad",Tabelle28[[#This Row],[Entfernung (km) gesamt]],0)*Tabelle28[[#This Row],[Anzahl Studierende ]]</f>
        <v>0</v>
      </c>
      <c r="U25" s="8">
        <f>IF(Tabelle28[[#This Row],[Verkehrsmittel]]="Straßen-, S-, U-Bahn",Tabelle28[[#This Row],[Entfernung (km) gesamt]],0)*Tabelle28[[#This Row],[Anzahl Studierende ]]</f>
        <v>0</v>
      </c>
      <c r="V25" s="8">
        <f>IF(Tabelle28[[#This Row],[Verkehrsmittel]]="Fahrrad",Tabelle28[[#This Row],[Entfernung (km) gesamt]],0)*Tabelle28[[#This Row],[Anzahl Studierende ]]</f>
        <v>0</v>
      </c>
    </row>
    <row r="26" spans="1:22" s="8" customFormat="1">
      <c r="B26" s="138"/>
      <c r="C26" s="139"/>
      <c r="D26" s="160"/>
      <c r="E26" s="111"/>
      <c r="F26" s="111"/>
      <c r="G26" s="111"/>
      <c r="H26" s="111">
        <f>Tabelle28[[#This Row],[Entfernung (km) einfach]]*2</f>
        <v>0</v>
      </c>
      <c r="I26" s="111"/>
      <c r="J26" s="140"/>
      <c r="K26" s="8">
        <f>IF(Tabelle28[[#This Row],[Verkehrsmittel]]="Bus",Tabelle28[[#This Row],[Entfernung (km) gesamt]],0)*Tabelle28[[#This Row],[Anzahl Studierende ]]</f>
        <v>0</v>
      </c>
      <c r="L26" s="8">
        <f>IF(Tabelle28[[#This Row],[Verkehrsmittel]]="Bahn",Tabelle28[[#This Row],[Anzahl Studierende ]]*Tabelle28[[#This Row],[Entfernung (km) gesamt]],0)</f>
        <v>0</v>
      </c>
      <c r="M26" s="8">
        <f>IF(Tabelle28[[#This Row],[Verkehrsmittel]]="PKW",Tabelle28[[#This Row],[Anzahl Studierende ]]*Tabelle28[[#This Row],[Entfernung (km) gesamt]],0)</f>
        <v>0</v>
      </c>
      <c r="N26" s="8">
        <f>IF(Tabelle28[[#This Row],[Verkehrsmittel]]="Flug", IF(AND(Tabelle28[[#This Row],[Entfernung (km) einfach]]&lt;500),Tabelle28[[#This Row],[Entfernung (km) gesamt]]), 0)*Tabelle28[[#This Row],[Anzahl Studierende ]]</f>
        <v>0</v>
      </c>
      <c r="O26" s="8">
        <f>IF(Tabelle28[[#This Row],[Verkehrsmittel]]="Flug", IF(AND(Tabelle28[[#This Row],[Entfernung (km) einfach]]&gt;500,Tabelle28[[#This Row],[Entfernung (km) einfach]]&lt;1000),Tabelle28[[#This Row],[Entfernung (km) gesamt]], 0), 0)*Tabelle28[[#This Row],[Anzahl Studierende ]]</f>
        <v>0</v>
      </c>
      <c r="P26" s="8">
        <f>IF(Tabelle28[[#This Row],[Verkehrsmittel]]="Flug", IF(AND(Tabelle28[[#This Row],[Entfernung (km) einfach]]&gt;1000,Tabelle28[[#This Row],[Entfernung (km) einfach]]&lt;2000),Tabelle28[[#This Row],[Entfernung (km) gesamt]], 0), 0)*Tabelle28[[#This Row],[Anzahl Studierende ]]</f>
        <v>0</v>
      </c>
      <c r="Q26" s="8">
        <f>IF(Tabelle28[[#This Row],[Verkehrsmittel]]="Flug", IF(AND(Tabelle28[[#This Row],[Entfernung (km) einfach]]&gt;2000,Tabelle28[[#This Row],[Entfernung (km) einfach]]&lt;5000),Tabelle28[[#This Row],[Entfernung (km) gesamt]], 0), 0)*Tabelle28[[#This Row],[Anzahl Studierende ]]</f>
        <v>0</v>
      </c>
      <c r="R26" s="8">
        <f>IF(Tabelle28[[#This Row],[Verkehrsmittel]]="Flug", IF(AND(Tabelle28[[#This Row],[Entfernung (km) einfach]]&gt;5000,Tabelle28[[#This Row],[Entfernung (km) einfach]]&lt;10000),Tabelle28[[#This Row],[Entfernung (km) gesamt]], 0), 0)*Tabelle28[[#This Row],[Anzahl Studierende ]]</f>
        <v>0</v>
      </c>
      <c r="S26" s="8">
        <f>IF(Tabelle28[[#This Row],[Verkehrsmittel]]="Flug", IF(AND(Tabelle28[[#This Row],[Entfernung (km) einfach]]&gt;10000),Tabelle28[[#This Row],[Entfernung (km) gesamt]]), 0)*Tabelle28[[#This Row],[Anzahl Studierende ]]</f>
        <v>0</v>
      </c>
      <c r="T26" s="8">
        <f>IF(Tabelle28[[#This Row],[Verkehrsmittel]]="Motorrad",Tabelle28[[#This Row],[Entfernung (km) gesamt]],0)*Tabelle28[[#This Row],[Anzahl Studierende ]]</f>
        <v>0</v>
      </c>
      <c r="U26" s="8">
        <f>IF(Tabelle28[[#This Row],[Verkehrsmittel]]="Straßen-, S-, U-Bahn",Tabelle28[[#This Row],[Entfernung (km) gesamt]],0)*Tabelle28[[#This Row],[Anzahl Studierende ]]</f>
        <v>0</v>
      </c>
      <c r="V26" s="8">
        <f>IF(Tabelle28[[#This Row],[Verkehrsmittel]]="Fahrrad",Tabelle28[[#This Row],[Entfernung (km) gesamt]],0)*Tabelle28[[#This Row],[Anzahl Studierende ]]</f>
        <v>0</v>
      </c>
    </row>
    <row r="27" spans="1:22" s="8" customFormat="1">
      <c r="B27" s="138"/>
      <c r="C27" s="139"/>
      <c r="D27" s="160"/>
      <c r="E27" s="111"/>
      <c r="F27" s="111"/>
      <c r="G27" s="111"/>
      <c r="H27" s="111">
        <f>Tabelle28[[#This Row],[Entfernung (km) einfach]]*2</f>
        <v>0</v>
      </c>
      <c r="I27" s="111"/>
      <c r="J27" s="140"/>
      <c r="K27" s="14">
        <f>IF(Tabelle28[[#This Row],[Verkehrsmittel]]="Bus",Tabelle28[[#This Row],[Entfernung (km) gesamt]],0)*Tabelle28[[#This Row],[Anzahl Studierende ]]</f>
        <v>0</v>
      </c>
      <c r="L27" s="14">
        <f>IF(Tabelle28[[#This Row],[Verkehrsmittel]]="Bahn",Tabelle28[[#This Row],[Anzahl Studierende ]]*Tabelle28[[#This Row],[Entfernung (km) gesamt]],0)</f>
        <v>0</v>
      </c>
      <c r="M27" s="14">
        <f>IF(Tabelle28[[#This Row],[Verkehrsmittel]]="PKW",Tabelle28[[#This Row],[Anzahl Studierende ]]*Tabelle28[[#This Row],[Entfernung (km) gesamt]],0)</f>
        <v>0</v>
      </c>
      <c r="N27" s="14">
        <f>IF(Tabelle28[[#This Row],[Verkehrsmittel]]="Flug", IF(AND(Tabelle28[[#This Row],[Entfernung (km) einfach]]&lt;500),Tabelle28[[#This Row],[Entfernung (km) gesamt]]), 0)*Tabelle28[[#This Row],[Anzahl Studierende ]]</f>
        <v>0</v>
      </c>
      <c r="O27" s="14">
        <f>IF(Tabelle28[[#This Row],[Verkehrsmittel]]="Flug", IF(AND(Tabelle28[[#This Row],[Entfernung (km) einfach]]&gt;500,Tabelle28[[#This Row],[Entfernung (km) einfach]]&lt;1000),Tabelle28[[#This Row],[Entfernung (km) gesamt]], 0), 0)*Tabelle28[[#This Row],[Anzahl Studierende ]]</f>
        <v>0</v>
      </c>
      <c r="P27" s="8">
        <f>IF(Tabelle28[[#This Row],[Verkehrsmittel]]="Flug", IF(AND(Tabelle28[[#This Row],[Entfernung (km) einfach]]&gt;1000,Tabelle28[[#This Row],[Entfernung (km) einfach]]&lt;2000),Tabelle28[[#This Row],[Entfernung (km) gesamt]], 0), 0)*Tabelle28[[#This Row],[Anzahl Studierende ]]</f>
        <v>0</v>
      </c>
      <c r="Q27" s="8">
        <f>IF(Tabelle28[[#This Row],[Verkehrsmittel]]="Flug", IF(AND(Tabelle28[[#This Row],[Entfernung (km) einfach]]&gt;2000,Tabelle28[[#This Row],[Entfernung (km) einfach]]&lt;5000),Tabelle28[[#This Row],[Entfernung (km) gesamt]], 0), 0)*Tabelle28[[#This Row],[Anzahl Studierende ]]</f>
        <v>0</v>
      </c>
      <c r="R27" s="14">
        <f>IF(Tabelle28[[#This Row],[Verkehrsmittel]]="Flug", IF(AND(Tabelle28[[#This Row],[Entfernung (km) einfach]]&gt;5000,Tabelle28[[#This Row],[Entfernung (km) einfach]]&lt;10000),Tabelle28[[#This Row],[Entfernung (km) gesamt]], 0), 0)*Tabelle28[[#This Row],[Anzahl Studierende ]]</f>
        <v>0</v>
      </c>
      <c r="S27" s="8">
        <f>IF(Tabelle28[[#This Row],[Verkehrsmittel]]="Flug", IF(AND(Tabelle28[[#This Row],[Entfernung (km) einfach]]&gt;10000),Tabelle28[[#This Row],[Entfernung (km) gesamt]]), 0)*Tabelle28[[#This Row],[Anzahl Studierende ]]</f>
        <v>0</v>
      </c>
      <c r="T27" s="8">
        <f>IF(Tabelle28[[#This Row],[Verkehrsmittel]]="Motorrad",Tabelle28[[#This Row],[Entfernung (km) gesamt]],0)*Tabelle28[[#This Row],[Anzahl Studierende ]]</f>
        <v>0</v>
      </c>
      <c r="U27" s="8">
        <f>IF(Tabelle28[[#This Row],[Verkehrsmittel]]="Straßen-, S-, U-Bahn",Tabelle28[[#This Row],[Entfernung (km) gesamt]],0)*Tabelle28[[#This Row],[Anzahl Studierende ]]</f>
        <v>0</v>
      </c>
      <c r="V27" s="8">
        <f>IF(Tabelle28[[#This Row],[Verkehrsmittel]]="Fahrrad",Tabelle28[[#This Row],[Entfernung (km) gesamt]],0)*Tabelle28[[#This Row],[Anzahl Studierende ]]</f>
        <v>0</v>
      </c>
    </row>
    <row r="28" spans="1:22" s="8" customFormat="1">
      <c r="B28" s="138"/>
      <c r="C28" s="139"/>
      <c r="D28" s="160"/>
      <c r="E28" s="111"/>
      <c r="F28" s="111"/>
      <c r="G28" s="111"/>
      <c r="H28" s="111">
        <f>Tabelle28[[#This Row],[Entfernung (km) einfach]]*2</f>
        <v>0</v>
      </c>
      <c r="I28" s="111"/>
      <c r="J28" s="140"/>
      <c r="K28" s="8">
        <f>IF(Tabelle28[[#This Row],[Verkehrsmittel]]="Bus",Tabelle28[[#This Row],[Entfernung (km) gesamt]],0)*Tabelle28[[#This Row],[Anzahl Studierende ]]</f>
        <v>0</v>
      </c>
      <c r="L28" s="8">
        <f>IF(Tabelle28[[#This Row],[Verkehrsmittel]]="Bahn",Tabelle28[[#This Row],[Anzahl Studierende ]]*Tabelle28[[#This Row],[Entfernung (km) gesamt]],0)</f>
        <v>0</v>
      </c>
      <c r="M28" s="8">
        <f>IF(Tabelle28[[#This Row],[Verkehrsmittel]]="PKW",Tabelle28[[#This Row],[Anzahl Studierende ]]*Tabelle28[[#This Row],[Entfernung (km) gesamt]],0)</f>
        <v>0</v>
      </c>
      <c r="N28" s="8">
        <f>IF(Tabelle28[[#This Row],[Verkehrsmittel]]="Flug", IF(AND(Tabelle28[[#This Row],[Entfernung (km) einfach]]&lt;500),Tabelle28[[#This Row],[Entfernung (km) gesamt]]), 0)*Tabelle28[[#This Row],[Anzahl Studierende ]]</f>
        <v>0</v>
      </c>
      <c r="O28" s="8">
        <f>IF(Tabelle28[[#This Row],[Verkehrsmittel]]="Flug", IF(AND(Tabelle28[[#This Row],[Entfernung (km) einfach]]&gt;500,Tabelle28[[#This Row],[Entfernung (km) einfach]]&lt;1000),Tabelle28[[#This Row],[Entfernung (km) gesamt]], 0), 0)*Tabelle28[[#This Row],[Anzahl Studierende ]]</f>
        <v>0</v>
      </c>
      <c r="P28" s="8">
        <f>IF(Tabelle28[[#This Row],[Verkehrsmittel]]="Flug", IF(AND(Tabelle28[[#This Row],[Entfernung (km) einfach]]&gt;1000,Tabelle28[[#This Row],[Entfernung (km) einfach]]&lt;2000),Tabelle28[[#This Row],[Entfernung (km) gesamt]], 0), 0)*Tabelle28[[#This Row],[Anzahl Studierende ]]</f>
        <v>0</v>
      </c>
      <c r="Q28" s="8">
        <f>IF(Tabelle28[[#This Row],[Verkehrsmittel]]="Flug", IF(AND(Tabelle28[[#This Row],[Entfernung (km) einfach]]&gt;2000,Tabelle28[[#This Row],[Entfernung (km) einfach]]&lt;5000),Tabelle28[[#This Row],[Entfernung (km) gesamt]], 0), 0)*Tabelle28[[#This Row],[Anzahl Studierende ]]</f>
        <v>0</v>
      </c>
      <c r="R28" s="8">
        <f>IF(Tabelle28[[#This Row],[Verkehrsmittel]]="Flug", IF(AND(Tabelle28[[#This Row],[Entfernung (km) einfach]]&gt;5000,Tabelle28[[#This Row],[Entfernung (km) einfach]]&lt;10000),Tabelle28[[#This Row],[Entfernung (km) gesamt]], 0), 0)*Tabelle28[[#This Row],[Anzahl Studierende ]]</f>
        <v>0</v>
      </c>
      <c r="S28" s="8">
        <f>IF(Tabelle28[[#This Row],[Verkehrsmittel]]="Flug", IF(AND(Tabelle28[[#This Row],[Entfernung (km) einfach]]&gt;10000),Tabelle28[[#This Row],[Entfernung (km) gesamt]]), 0)*Tabelle28[[#This Row],[Anzahl Studierende ]]</f>
        <v>0</v>
      </c>
      <c r="T28" s="8">
        <f>IF(Tabelle28[[#This Row],[Verkehrsmittel]]="Motorrad",Tabelle28[[#This Row],[Entfernung (km) gesamt]],0)*Tabelle28[[#This Row],[Anzahl Studierende ]]</f>
        <v>0</v>
      </c>
      <c r="U28" s="8">
        <f>IF(Tabelle28[[#This Row],[Verkehrsmittel]]="Straßen-, S-, U-Bahn",Tabelle28[[#This Row],[Entfernung (km) gesamt]],0)*Tabelle28[[#This Row],[Anzahl Studierende ]]</f>
        <v>0</v>
      </c>
      <c r="V28" s="8">
        <f>IF(Tabelle28[[#This Row],[Verkehrsmittel]]="Fahrrad",Tabelle28[[#This Row],[Entfernung (km) gesamt]],0)*Tabelle28[[#This Row],[Anzahl Studierende ]]</f>
        <v>0</v>
      </c>
    </row>
    <row r="29" spans="1:22" s="8" customFormat="1">
      <c r="B29" s="138"/>
      <c r="C29" s="139"/>
      <c r="D29" s="160"/>
      <c r="E29" s="111"/>
      <c r="F29" s="111"/>
      <c r="G29" s="111"/>
      <c r="H29" s="111">
        <f>Tabelle28[[#This Row],[Entfernung (km) einfach]]*2</f>
        <v>0</v>
      </c>
      <c r="I29" s="111"/>
      <c r="J29" s="140"/>
      <c r="K29" s="8">
        <f>IF(Tabelle28[[#This Row],[Verkehrsmittel]]="Bus",Tabelle28[[#This Row],[Entfernung (km) gesamt]],0)*Tabelle28[[#This Row],[Anzahl Studierende ]]</f>
        <v>0</v>
      </c>
      <c r="L29" s="8">
        <f>IF(Tabelle28[[#This Row],[Verkehrsmittel]]="Bahn",Tabelle28[[#This Row],[Anzahl Studierende ]]*Tabelle28[[#This Row],[Entfernung (km) gesamt]],0)</f>
        <v>0</v>
      </c>
      <c r="M29" s="8">
        <f>IF(Tabelle28[[#This Row],[Verkehrsmittel]]="PKW",Tabelle28[[#This Row],[Anzahl Studierende ]]*Tabelle28[[#This Row],[Entfernung (km) gesamt]],0)</f>
        <v>0</v>
      </c>
      <c r="N29" s="8">
        <f>IF(Tabelle28[[#This Row],[Verkehrsmittel]]="Flug", IF(AND(Tabelle28[[#This Row],[Entfernung (km) einfach]]&lt;500),Tabelle28[[#This Row],[Entfernung (km) gesamt]]), 0)*Tabelle28[[#This Row],[Anzahl Studierende ]]</f>
        <v>0</v>
      </c>
      <c r="O29" s="8">
        <f>IF(Tabelle28[[#This Row],[Verkehrsmittel]]="Flug", IF(AND(Tabelle28[[#This Row],[Entfernung (km) einfach]]&gt;500,Tabelle28[[#This Row],[Entfernung (km) einfach]]&lt;1000),Tabelle28[[#This Row],[Entfernung (km) gesamt]], 0), 0)*Tabelle28[[#This Row],[Anzahl Studierende ]]</f>
        <v>0</v>
      </c>
      <c r="P29" s="8">
        <f>IF(Tabelle28[[#This Row],[Verkehrsmittel]]="Flug", IF(AND(Tabelle28[[#This Row],[Entfernung (km) einfach]]&gt;1000,Tabelle28[[#This Row],[Entfernung (km) einfach]]&lt;2000),Tabelle28[[#This Row],[Entfernung (km) gesamt]], 0), 0)*Tabelle28[[#This Row],[Anzahl Studierende ]]</f>
        <v>0</v>
      </c>
      <c r="Q29" s="8">
        <f>IF(Tabelle28[[#This Row],[Verkehrsmittel]]="Flug", IF(AND(Tabelle28[[#This Row],[Entfernung (km) einfach]]&gt;2000,Tabelle28[[#This Row],[Entfernung (km) einfach]]&lt;5000),Tabelle28[[#This Row],[Entfernung (km) gesamt]], 0), 0)*Tabelle28[[#This Row],[Anzahl Studierende ]]</f>
        <v>0</v>
      </c>
      <c r="R29" s="8">
        <f>IF(Tabelle28[[#This Row],[Verkehrsmittel]]="Flug", IF(AND(Tabelle28[[#This Row],[Entfernung (km) einfach]]&gt;5000,Tabelle28[[#This Row],[Entfernung (km) einfach]]&lt;10000),Tabelle28[[#This Row],[Entfernung (km) gesamt]], 0), 0)*Tabelle28[[#This Row],[Anzahl Studierende ]]</f>
        <v>0</v>
      </c>
      <c r="S29" s="8">
        <f>IF(Tabelle28[[#This Row],[Verkehrsmittel]]="Flug", IF(AND(Tabelle28[[#This Row],[Entfernung (km) einfach]]&gt;10000),Tabelle28[[#This Row],[Entfernung (km) gesamt]]), 0)*Tabelle28[[#This Row],[Anzahl Studierende ]]</f>
        <v>0</v>
      </c>
      <c r="T29" s="8">
        <f>IF(Tabelle28[[#This Row],[Verkehrsmittel]]="Motorrad",Tabelle28[[#This Row],[Entfernung (km) gesamt]],0)*Tabelle28[[#This Row],[Anzahl Studierende ]]</f>
        <v>0</v>
      </c>
      <c r="U29" s="8">
        <f>IF(Tabelle28[[#This Row],[Verkehrsmittel]]="Straßen-, S-, U-Bahn",Tabelle28[[#This Row],[Entfernung (km) gesamt]],0)*Tabelle28[[#This Row],[Anzahl Studierende ]]</f>
        <v>0</v>
      </c>
      <c r="V29" s="8">
        <f>IF(Tabelle28[[#This Row],[Verkehrsmittel]]="Fahrrad",Tabelle28[[#This Row],[Entfernung (km) gesamt]],0)*Tabelle28[[#This Row],[Anzahl Studierende ]]</f>
        <v>0</v>
      </c>
    </row>
    <row r="30" spans="1:22" s="8" customFormat="1">
      <c r="B30" s="138"/>
      <c r="C30" s="139"/>
      <c r="D30" s="160"/>
      <c r="E30" s="111"/>
      <c r="F30" s="111"/>
      <c r="G30" s="111"/>
      <c r="H30" s="111">
        <f>Tabelle28[[#This Row],[Entfernung (km) einfach]]*2</f>
        <v>0</v>
      </c>
      <c r="I30" s="111"/>
      <c r="J30" s="140"/>
      <c r="K30" s="8">
        <f>IF(Tabelle28[[#This Row],[Verkehrsmittel]]="Bus",Tabelle28[[#This Row],[Entfernung (km) gesamt]],0)*Tabelle28[[#This Row],[Anzahl Studierende ]]</f>
        <v>0</v>
      </c>
      <c r="L30" s="8">
        <f>IF(Tabelle28[[#This Row],[Verkehrsmittel]]="Bahn",Tabelle28[[#This Row],[Anzahl Studierende ]]*Tabelle28[[#This Row],[Entfernung (km) gesamt]],0)</f>
        <v>0</v>
      </c>
      <c r="M30" s="8">
        <f>IF(Tabelle28[[#This Row],[Verkehrsmittel]]="PKW",Tabelle28[[#This Row],[Anzahl Studierende ]]*Tabelle28[[#This Row],[Entfernung (km) gesamt]],0)</f>
        <v>0</v>
      </c>
      <c r="N30" s="8">
        <f>IF(Tabelle28[[#This Row],[Verkehrsmittel]]="Flug", IF(AND(Tabelle28[[#This Row],[Entfernung (km) einfach]]&lt;500),Tabelle28[[#This Row],[Entfernung (km) gesamt]]), 0)*Tabelle28[[#This Row],[Anzahl Studierende ]]</f>
        <v>0</v>
      </c>
      <c r="O30" s="8">
        <f>IF(Tabelle28[[#This Row],[Verkehrsmittel]]="Flug", IF(AND(Tabelle28[[#This Row],[Entfernung (km) einfach]]&gt;500,Tabelle28[[#This Row],[Entfernung (km) einfach]]&lt;1000),Tabelle28[[#This Row],[Entfernung (km) gesamt]], 0), 0)*Tabelle28[[#This Row],[Anzahl Studierende ]]</f>
        <v>0</v>
      </c>
      <c r="P30" s="8">
        <f>IF(Tabelle28[[#This Row],[Verkehrsmittel]]="Flug", IF(AND(Tabelle28[[#This Row],[Entfernung (km) einfach]]&gt;1000,Tabelle28[[#This Row],[Entfernung (km) einfach]]&lt;2000),Tabelle28[[#This Row],[Entfernung (km) gesamt]], 0), 0)*Tabelle28[[#This Row],[Anzahl Studierende ]]</f>
        <v>0</v>
      </c>
      <c r="Q30" s="8">
        <f>IF(Tabelle28[[#This Row],[Verkehrsmittel]]="Flug", IF(AND(Tabelle28[[#This Row],[Entfernung (km) einfach]]&gt;2000,Tabelle28[[#This Row],[Entfernung (km) einfach]]&lt;5000),Tabelle28[[#This Row],[Entfernung (km) gesamt]], 0), 0)*Tabelle28[[#This Row],[Anzahl Studierende ]]</f>
        <v>0</v>
      </c>
      <c r="R30" s="8">
        <f>IF(Tabelle28[[#This Row],[Verkehrsmittel]]="Flug", IF(AND(Tabelle28[[#This Row],[Entfernung (km) einfach]]&gt;5000,Tabelle28[[#This Row],[Entfernung (km) einfach]]&lt;10000),Tabelle28[[#This Row],[Entfernung (km) gesamt]], 0), 0)*Tabelle28[[#This Row],[Anzahl Studierende ]]</f>
        <v>0</v>
      </c>
      <c r="S30" s="8">
        <f>IF(Tabelle28[[#This Row],[Verkehrsmittel]]="Flug", IF(AND(Tabelle28[[#This Row],[Entfernung (km) einfach]]&gt;10000),Tabelle28[[#This Row],[Entfernung (km) gesamt]]), 0)*Tabelle28[[#This Row],[Anzahl Studierende ]]</f>
        <v>0</v>
      </c>
      <c r="T30" s="8">
        <f>IF(Tabelle28[[#This Row],[Verkehrsmittel]]="Motorrad",Tabelle28[[#This Row],[Entfernung (km) gesamt]],0)*Tabelle28[[#This Row],[Anzahl Studierende ]]</f>
        <v>0</v>
      </c>
      <c r="U30" s="8">
        <f>IF(Tabelle28[[#This Row],[Verkehrsmittel]]="Straßen-, S-, U-Bahn",Tabelle28[[#This Row],[Entfernung (km) gesamt]],0)*Tabelle28[[#This Row],[Anzahl Studierende ]]</f>
        <v>0</v>
      </c>
      <c r="V30" s="8">
        <f>IF(Tabelle28[[#This Row],[Verkehrsmittel]]="Fahrrad",Tabelle28[[#This Row],[Entfernung (km) gesamt]],0)*Tabelle28[[#This Row],[Anzahl Studierende ]]</f>
        <v>0</v>
      </c>
    </row>
    <row r="31" spans="1:22" s="8" customFormat="1">
      <c r="B31" s="138"/>
      <c r="C31" s="139"/>
      <c r="D31" s="160"/>
      <c r="E31" s="111"/>
      <c r="F31" s="111"/>
      <c r="G31" s="111"/>
      <c r="H31" s="111">
        <f>Tabelle28[[#This Row],[Entfernung (km) einfach]]*2</f>
        <v>0</v>
      </c>
      <c r="I31" s="111"/>
      <c r="J31" s="140"/>
      <c r="K31" s="8">
        <f>IF(Tabelle28[[#This Row],[Verkehrsmittel]]="Bus",Tabelle28[[#This Row],[Entfernung (km) gesamt]],0)*Tabelle28[[#This Row],[Anzahl Studierende ]]</f>
        <v>0</v>
      </c>
      <c r="L31" s="8">
        <f>IF(Tabelle28[[#This Row],[Verkehrsmittel]]="Bahn",Tabelle28[[#This Row],[Anzahl Studierende ]]*Tabelle28[[#This Row],[Entfernung (km) gesamt]],0)</f>
        <v>0</v>
      </c>
      <c r="M31" s="8">
        <f>IF(Tabelle28[[#This Row],[Verkehrsmittel]]="PKW",Tabelle28[[#This Row],[Anzahl Studierende ]]*Tabelle28[[#This Row],[Entfernung (km) gesamt]],0)</f>
        <v>0</v>
      </c>
      <c r="N31" s="8">
        <f>IF(Tabelle28[[#This Row],[Verkehrsmittel]]="Flug", IF(AND(Tabelle28[[#This Row],[Entfernung (km) einfach]]&lt;500),Tabelle28[[#This Row],[Entfernung (km) gesamt]]), 0)*Tabelle28[[#This Row],[Anzahl Studierende ]]</f>
        <v>0</v>
      </c>
      <c r="O31" s="8">
        <f>IF(Tabelle28[[#This Row],[Verkehrsmittel]]="Flug", IF(AND(Tabelle28[[#This Row],[Entfernung (km) einfach]]&gt;500,Tabelle28[[#This Row],[Entfernung (km) einfach]]&lt;1000),Tabelle28[[#This Row],[Entfernung (km) gesamt]], 0), 0)*Tabelle28[[#This Row],[Anzahl Studierende ]]</f>
        <v>0</v>
      </c>
      <c r="P31" s="8">
        <f>IF(Tabelle28[[#This Row],[Verkehrsmittel]]="Flug", IF(AND(Tabelle28[[#This Row],[Entfernung (km) einfach]]&gt;1000,Tabelle28[[#This Row],[Entfernung (km) einfach]]&lt;2000),Tabelle28[[#This Row],[Entfernung (km) gesamt]], 0), 0)*Tabelle28[[#This Row],[Anzahl Studierende ]]</f>
        <v>0</v>
      </c>
      <c r="Q31" s="8">
        <f>IF(Tabelle28[[#This Row],[Verkehrsmittel]]="Flug", IF(AND(Tabelle28[[#This Row],[Entfernung (km) einfach]]&gt;2000,Tabelle28[[#This Row],[Entfernung (km) einfach]]&lt;5000),Tabelle28[[#This Row],[Entfernung (km) gesamt]], 0), 0)*Tabelle28[[#This Row],[Anzahl Studierende ]]</f>
        <v>0</v>
      </c>
      <c r="R31" s="8">
        <f>IF(Tabelle28[[#This Row],[Verkehrsmittel]]="Flug", IF(AND(Tabelle28[[#This Row],[Entfernung (km) einfach]]&gt;5000,Tabelle28[[#This Row],[Entfernung (km) einfach]]&lt;10000),Tabelle28[[#This Row],[Entfernung (km) gesamt]], 0), 0)*Tabelle28[[#This Row],[Anzahl Studierende ]]</f>
        <v>0</v>
      </c>
      <c r="S31" s="8">
        <f>IF(Tabelle28[[#This Row],[Verkehrsmittel]]="Flug", IF(AND(Tabelle28[[#This Row],[Entfernung (km) einfach]]&gt;10000),Tabelle28[[#This Row],[Entfernung (km) gesamt]]), 0)*Tabelle28[[#This Row],[Anzahl Studierende ]]</f>
        <v>0</v>
      </c>
      <c r="T31" s="8">
        <f>IF(Tabelle28[[#This Row],[Verkehrsmittel]]="Motorrad",Tabelle28[[#This Row],[Entfernung (km) gesamt]],0)*Tabelle28[[#This Row],[Anzahl Studierende ]]</f>
        <v>0</v>
      </c>
      <c r="U31" s="8">
        <f>IF(Tabelle28[[#This Row],[Verkehrsmittel]]="Straßen-, S-, U-Bahn",Tabelle28[[#This Row],[Entfernung (km) gesamt]],0)*Tabelle28[[#This Row],[Anzahl Studierende ]]</f>
        <v>0</v>
      </c>
      <c r="V31" s="8">
        <f>IF(Tabelle28[[#This Row],[Verkehrsmittel]]="Fahrrad",Tabelle28[[#This Row],[Entfernung (km) gesamt]],0)*Tabelle28[[#This Row],[Anzahl Studierende ]]</f>
        <v>0</v>
      </c>
    </row>
    <row r="32" spans="1:22" s="8" customFormat="1">
      <c r="B32" s="138"/>
      <c r="C32" s="139"/>
      <c r="D32" s="160"/>
      <c r="E32" s="111"/>
      <c r="F32" s="111"/>
      <c r="G32" s="111"/>
      <c r="H32" s="117">
        <f>Tabelle28[[#This Row],[Entfernung (km) einfach]]*2</f>
        <v>0</v>
      </c>
      <c r="I32" s="111"/>
      <c r="J32" s="140"/>
      <c r="K32" s="8">
        <f>IF(Tabelle28[[#This Row],[Verkehrsmittel]]="Bus",Tabelle28[[#This Row],[Entfernung (km) gesamt]],0)*Tabelle28[[#This Row],[Anzahl Studierende ]]</f>
        <v>0</v>
      </c>
      <c r="L32" s="8">
        <f>IF(Tabelle28[[#This Row],[Verkehrsmittel]]="Bahn",Tabelle28[[#This Row],[Anzahl Studierende ]]*Tabelle28[[#This Row],[Entfernung (km) gesamt]],0)</f>
        <v>0</v>
      </c>
      <c r="M32" s="8">
        <f>IF(Tabelle28[[#This Row],[Verkehrsmittel]]="PKW",Tabelle28[[#This Row],[Anzahl Studierende ]]*Tabelle28[[#This Row],[Entfernung (km) gesamt]],0)</f>
        <v>0</v>
      </c>
      <c r="N32" s="8">
        <f>IF(Tabelle28[[#This Row],[Verkehrsmittel]]="Flug", IF(AND(Tabelle28[[#This Row],[Entfernung (km) einfach]]&lt;500),Tabelle28[[#This Row],[Entfernung (km) gesamt]]), 0)*Tabelle28[[#This Row],[Anzahl Studierende ]]</f>
        <v>0</v>
      </c>
      <c r="O32" s="8">
        <f>IF(Tabelle28[[#This Row],[Verkehrsmittel]]="Flug", IF(AND(Tabelle28[[#This Row],[Entfernung (km) einfach]]&gt;500,Tabelle28[[#This Row],[Entfernung (km) einfach]]&lt;1000),Tabelle28[[#This Row],[Entfernung (km) gesamt]], 0), 0)*Tabelle28[[#This Row],[Anzahl Studierende ]]</f>
        <v>0</v>
      </c>
      <c r="P32" s="8">
        <f>IF(Tabelle28[[#This Row],[Verkehrsmittel]]="Flug", IF(AND(Tabelle28[[#This Row],[Entfernung (km) einfach]]&gt;1000,Tabelle28[[#This Row],[Entfernung (km) einfach]]&lt;2000),Tabelle28[[#This Row],[Entfernung (km) gesamt]], 0), 0)*Tabelle28[[#This Row],[Anzahl Studierende ]]</f>
        <v>0</v>
      </c>
      <c r="Q32" s="8">
        <f>IF(Tabelle28[[#This Row],[Verkehrsmittel]]="Flug", IF(AND(Tabelle28[[#This Row],[Entfernung (km) einfach]]&gt;2000,Tabelle28[[#This Row],[Entfernung (km) einfach]]&lt;5000),Tabelle28[[#This Row],[Entfernung (km) gesamt]], 0), 0)*Tabelle28[[#This Row],[Anzahl Studierende ]]</f>
        <v>0</v>
      </c>
      <c r="R32" s="8">
        <f>IF(Tabelle28[[#This Row],[Verkehrsmittel]]="Flug", IF(AND(Tabelle28[[#This Row],[Entfernung (km) einfach]]&gt;5000,Tabelle28[[#This Row],[Entfernung (km) einfach]]&lt;10000),Tabelle28[[#This Row],[Entfernung (km) gesamt]], 0), 0)*Tabelle28[[#This Row],[Anzahl Studierende ]]</f>
        <v>0</v>
      </c>
      <c r="S32" s="8">
        <f>IF(Tabelle28[[#This Row],[Verkehrsmittel]]="Flug", IF(AND(Tabelle28[[#This Row],[Entfernung (km) einfach]]&gt;10000),Tabelle28[[#This Row],[Entfernung (km) gesamt]]), 0)*Tabelle28[[#This Row],[Anzahl Studierende ]]</f>
        <v>0</v>
      </c>
      <c r="T32" s="8">
        <f>IF(Tabelle28[[#This Row],[Verkehrsmittel]]="Motorrad",Tabelle28[[#This Row],[Entfernung (km) gesamt]],0)*Tabelle28[[#This Row],[Anzahl Studierende ]]</f>
        <v>0</v>
      </c>
      <c r="U32" s="8">
        <f>IF(Tabelle28[[#This Row],[Verkehrsmittel]]="Straßen-, S-, U-Bahn",Tabelle28[[#This Row],[Entfernung (km) gesamt]],0)*Tabelle28[[#This Row],[Anzahl Studierende ]]</f>
        <v>0</v>
      </c>
      <c r="V32" s="8">
        <f>IF(Tabelle28[[#This Row],[Verkehrsmittel]]="Fahrrad",Tabelle28[[#This Row],[Entfernung (km) gesamt]],0)*Tabelle28[[#This Row],[Anzahl Studierende ]]</f>
        <v>0</v>
      </c>
    </row>
    <row r="33" spans="2:22" s="8" customFormat="1">
      <c r="B33" s="138"/>
      <c r="C33" s="139"/>
      <c r="D33" s="160"/>
      <c r="E33" s="111"/>
      <c r="F33" s="111"/>
      <c r="G33" s="111"/>
      <c r="H33" s="117">
        <f>Tabelle28[[#This Row],[Entfernung (km) einfach]]*2</f>
        <v>0</v>
      </c>
      <c r="I33" s="111"/>
      <c r="J33" s="140"/>
      <c r="K33" s="8">
        <f>IF(Tabelle28[[#This Row],[Verkehrsmittel]]="Bus",Tabelle28[[#This Row],[Entfernung (km) gesamt]],0)*Tabelle28[[#This Row],[Anzahl Studierende ]]</f>
        <v>0</v>
      </c>
      <c r="L33" s="8">
        <f>IF(Tabelle28[[#This Row],[Verkehrsmittel]]="Bahn",Tabelle28[[#This Row],[Anzahl Studierende ]]*Tabelle28[[#This Row],[Entfernung (km) gesamt]],0)</f>
        <v>0</v>
      </c>
      <c r="M33" s="8">
        <f>IF(Tabelle28[[#This Row],[Verkehrsmittel]]="PKW",Tabelle28[[#This Row],[Anzahl Studierende ]]*Tabelle28[[#This Row],[Entfernung (km) gesamt]],0)</f>
        <v>0</v>
      </c>
      <c r="N33" s="8">
        <f>IF(Tabelle28[[#This Row],[Verkehrsmittel]]="Flug", IF(AND(Tabelle28[[#This Row],[Entfernung (km) einfach]]&lt;500),Tabelle28[[#This Row],[Entfernung (km) gesamt]]), 0)*Tabelle28[[#This Row],[Anzahl Studierende ]]</f>
        <v>0</v>
      </c>
      <c r="O33" s="8">
        <f>IF(Tabelle28[[#This Row],[Verkehrsmittel]]="Flug", IF(AND(Tabelle28[[#This Row],[Entfernung (km) einfach]]&gt;500,Tabelle28[[#This Row],[Entfernung (km) einfach]]&lt;1000),Tabelle28[[#This Row],[Entfernung (km) gesamt]], 0), 0)*Tabelle28[[#This Row],[Anzahl Studierende ]]</f>
        <v>0</v>
      </c>
      <c r="P33" s="8">
        <f>IF(Tabelle28[[#This Row],[Verkehrsmittel]]="Flug", IF(AND(Tabelle28[[#This Row],[Entfernung (km) einfach]]&gt;1000,Tabelle28[[#This Row],[Entfernung (km) einfach]]&lt;2000),Tabelle28[[#This Row],[Entfernung (km) gesamt]], 0), 0)*Tabelle28[[#This Row],[Anzahl Studierende ]]</f>
        <v>0</v>
      </c>
      <c r="Q33" s="8">
        <f>IF(Tabelle28[[#This Row],[Verkehrsmittel]]="Flug", IF(AND(Tabelle28[[#This Row],[Entfernung (km) einfach]]&gt;2000,Tabelle28[[#This Row],[Entfernung (km) einfach]]&lt;5000),Tabelle28[[#This Row],[Entfernung (km) gesamt]], 0), 0)*Tabelle28[[#This Row],[Anzahl Studierende ]]</f>
        <v>0</v>
      </c>
      <c r="R33" s="8">
        <f>IF(Tabelle28[[#This Row],[Verkehrsmittel]]="Flug", IF(AND(Tabelle28[[#This Row],[Entfernung (km) einfach]]&gt;5000,Tabelle28[[#This Row],[Entfernung (km) einfach]]&lt;10000),Tabelle28[[#This Row],[Entfernung (km) gesamt]], 0), 0)*Tabelle28[[#This Row],[Anzahl Studierende ]]</f>
        <v>0</v>
      </c>
      <c r="S33" s="8">
        <f>IF(Tabelle28[[#This Row],[Verkehrsmittel]]="Flug", IF(AND(Tabelle28[[#This Row],[Entfernung (km) einfach]]&gt;10000),Tabelle28[[#This Row],[Entfernung (km) gesamt]]), 0)*Tabelle28[[#This Row],[Anzahl Studierende ]]</f>
        <v>0</v>
      </c>
      <c r="T33" s="8">
        <f>IF(Tabelle28[[#This Row],[Verkehrsmittel]]="Motorrad",Tabelle28[[#This Row],[Entfernung (km) gesamt]],0)*Tabelle28[[#This Row],[Anzahl Studierende ]]</f>
        <v>0</v>
      </c>
      <c r="U33" s="8">
        <f>IF(Tabelle28[[#This Row],[Verkehrsmittel]]="Straßen-, S-, U-Bahn",Tabelle28[[#This Row],[Entfernung (km) gesamt]],0)*Tabelle28[[#This Row],[Anzahl Studierende ]]</f>
        <v>0</v>
      </c>
      <c r="V33" s="8">
        <f>IF(Tabelle28[[#This Row],[Verkehrsmittel]]="Fahrrad",Tabelle28[[#This Row],[Entfernung (km) gesamt]],0)*Tabelle28[[#This Row],[Anzahl Studierende ]]</f>
        <v>0</v>
      </c>
    </row>
    <row r="34" spans="2:22" s="8" customFormat="1">
      <c r="B34" s="138"/>
      <c r="C34" s="139"/>
      <c r="D34" s="160"/>
      <c r="E34" s="111"/>
      <c r="F34" s="111"/>
      <c r="G34" s="111"/>
      <c r="H34" s="117">
        <f>Tabelle28[[#This Row],[Entfernung (km) einfach]]*2</f>
        <v>0</v>
      </c>
      <c r="I34" s="111"/>
      <c r="J34" s="140"/>
      <c r="K34" s="8">
        <f>IF(Tabelle28[[#This Row],[Verkehrsmittel]]="Bus",Tabelle28[[#This Row],[Entfernung (km) gesamt]],0)*Tabelle28[[#This Row],[Anzahl Studierende ]]</f>
        <v>0</v>
      </c>
      <c r="L34" s="8">
        <f>IF(Tabelle28[[#This Row],[Verkehrsmittel]]="Bahn",Tabelle28[[#This Row],[Anzahl Studierende ]]*Tabelle28[[#This Row],[Entfernung (km) gesamt]],0)</f>
        <v>0</v>
      </c>
      <c r="M34" s="8">
        <f>IF(Tabelle28[[#This Row],[Verkehrsmittel]]="PKW",Tabelle28[[#This Row],[Anzahl Studierende ]]*Tabelle28[[#This Row],[Entfernung (km) gesamt]],0)</f>
        <v>0</v>
      </c>
      <c r="N34" s="8">
        <f>IF(Tabelle28[[#This Row],[Verkehrsmittel]]="Flug", IF(AND(Tabelle28[[#This Row],[Entfernung (km) einfach]]&lt;500),Tabelle28[[#This Row],[Entfernung (km) gesamt]]), 0)*Tabelle28[[#This Row],[Anzahl Studierende ]]</f>
        <v>0</v>
      </c>
      <c r="O34" s="8">
        <f>IF(Tabelle28[[#This Row],[Verkehrsmittel]]="Flug", IF(AND(Tabelle28[[#This Row],[Entfernung (km) einfach]]&gt;500,Tabelle28[[#This Row],[Entfernung (km) einfach]]&lt;1000),Tabelle28[[#This Row],[Entfernung (km) gesamt]], 0), 0)*Tabelle28[[#This Row],[Anzahl Studierende ]]</f>
        <v>0</v>
      </c>
      <c r="P34" s="8">
        <f>IF(Tabelle28[[#This Row],[Verkehrsmittel]]="Flug", IF(AND(Tabelle28[[#This Row],[Entfernung (km) einfach]]&gt;1000,Tabelle28[[#This Row],[Entfernung (km) einfach]]&lt;2000),Tabelle28[[#This Row],[Entfernung (km) gesamt]], 0), 0)*Tabelle28[[#This Row],[Anzahl Studierende ]]</f>
        <v>0</v>
      </c>
      <c r="Q34" s="8">
        <f>IF(Tabelle28[[#This Row],[Verkehrsmittel]]="Flug", IF(AND(Tabelle28[[#This Row],[Entfernung (km) einfach]]&gt;2000,Tabelle28[[#This Row],[Entfernung (km) einfach]]&lt;5000),Tabelle28[[#This Row],[Entfernung (km) gesamt]], 0), 0)*Tabelle28[[#This Row],[Anzahl Studierende ]]</f>
        <v>0</v>
      </c>
      <c r="R34" s="8">
        <f>IF(Tabelle28[[#This Row],[Verkehrsmittel]]="Flug", IF(AND(Tabelle28[[#This Row],[Entfernung (km) einfach]]&gt;5000,Tabelle28[[#This Row],[Entfernung (km) einfach]]&lt;10000),Tabelle28[[#This Row],[Entfernung (km) gesamt]], 0), 0)*Tabelle28[[#This Row],[Anzahl Studierende ]]</f>
        <v>0</v>
      </c>
      <c r="S34" s="8">
        <f>IF(Tabelle28[[#This Row],[Verkehrsmittel]]="Flug", IF(AND(Tabelle28[[#This Row],[Entfernung (km) einfach]]&gt;10000),Tabelle28[[#This Row],[Entfernung (km) gesamt]]), 0)*Tabelle28[[#This Row],[Anzahl Studierende ]]</f>
        <v>0</v>
      </c>
      <c r="T34" s="8">
        <f>IF(Tabelle28[[#This Row],[Verkehrsmittel]]="Motorrad",Tabelle28[[#This Row],[Entfernung (km) gesamt]],0)*Tabelle28[[#This Row],[Anzahl Studierende ]]</f>
        <v>0</v>
      </c>
      <c r="U34" s="8">
        <f>IF(Tabelle28[[#This Row],[Verkehrsmittel]]="Straßen-, S-, U-Bahn",Tabelle28[[#This Row],[Entfernung (km) gesamt]],0)*Tabelle28[[#This Row],[Anzahl Studierende ]]</f>
        <v>0</v>
      </c>
      <c r="V34" s="8">
        <f>IF(Tabelle28[[#This Row],[Verkehrsmittel]]="Fahrrad",Tabelle28[[#This Row],[Entfernung (km) gesamt]],0)*Tabelle28[[#This Row],[Anzahl Studierende ]]</f>
        <v>0</v>
      </c>
    </row>
    <row r="35" spans="2:22" s="8" customFormat="1">
      <c r="B35" s="138"/>
      <c r="C35" s="139"/>
      <c r="D35" s="160"/>
      <c r="E35" s="111"/>
      <c r="F35" s="111"/>
      <c r="G35" s="111"/>
      <c r="H35" s="117">
        <f>Tabelle28[[#This Row],[Entfernung (km) einfach]]*2</f>
        <v>0</v>
      </c>
      <c r="I35" s="111"/>
      <c r="J35" s="140"/>
      <c r="K35" s="8">
        <f>IF(Tabelle28[[#This Row],[Verkehrsmittel]]="Bus",Tabelle28[[#This Row],[Entfernung (km) gesamt]],0)*Tabelle28[[#This Row],[Anzahl Studierende ]]</f>
        <v>0</v>
      </c>
      <c r="L35" s="8">
        <f>IF(Tabelle28[[#This Row],[Verkehrsmittel]]="Bahn",Tabelle28[[#This Row],[Anzahl Studierende ]]*Tabelle28[[#This Row],[Entfernung (km) gesamt]],0)</f>
        <v>0</v>
      </c>
      <c r="M35" s="8">
        <f>IF(Tabelle28[[#This Row],[Verkehrsmittel]]="PKW",Tabelle28[[#This Row],[Anzahl Studierende ]]*Tabelle28[[#This Row],[Entfernung (km) gesamt]],0)</f>
        <v>0</v>
      </c>
      <c r="N35" s="8">
        <f>IF(Tabelle28[[#This Row],[Verkehrsmittel]]="Flug", IF(AND(Tabelle28[[#This Row],[Entfernung (km) einfach]]&lt;500),Tabelle28[[#This Row],[Entfernung (km) gesamt]]), 0)*Tabelle28[[#This Row],[Anzahl Studierende ]]</f>
        <v>0</v>
      </c>
      <c r="O35" s="8">
        <f>IF(Tabelle28[[#This Row],[Verkehrsmittel]]="Flug", IF(AND(Tabelle28[[#This Row],[Entfernung (km) einfach]]&gt;500,Tabelle28[[#This Row],[Entfernung (km) einfach]]&lt;1000),Tabelle28[[#This Row],[Entfernung (km) gesamt]], 0), 0)*Tabelle28[[#This Row],[Anzahl Studierende ]]</f>
        <v>0</v>
      </c>
      <c r="P35" s="8">
        <f>IF(Tabelle28[[#This Row],[Verkehrsmittel]]="Flug", IF(AND(Tabelle28[[#This Row],[Entfernung (km) einfach]]&gt;1000,Tabelle28[[#This Row],[Entfernung (km) einfach]]&lt;2000),Tabelle28[[#This Row],[Entfernung (km) gesamt]], 0), 0)*Tabelle28[[#This Row],[Anzahl Studierende ]]</f>
        <v>0</v>
      </c>
      <c r="Q35" s="8">
        <f>IF(Tabelle28[[#This Row],[Verkehrsmittel]]="Flug", IF(AND(Tabelle28[[#This Row],[Entfernung (km) einfach]]&gt;2000,Tabelle28[[#This Row],[Entfernung (km) einfach]]&lt;5000),Tabelle28[[#This Row],[Entfernung (km) gesamt]], 0), 0)*Tabelle28[[#This Row],[Anzahl Studierende ]]</f>
        <v>0</v>
      </c>
      <c r="R35" s="8">
        <f>IF(Tabelle28[[#This Row],[Verkehrsmittel]]="Flug", IF(AND(Tabelle28[[#This Row],[Entfernung (km) einfach]]&gt;5000,Tabelle28[[#This Row],[Entfernung (km) einfach]]&lt;10000),Tabelle28[[#This Row],[Entfernung (km) gesamt]], 0), 0)*Tabelle28[[#This Row],[Anzahl Studierende ]]</f>
        <v>0</v>
      </c>
      <c r="S35" s="8">
        <f>IF(Tabelle28[[#This Row],[Verkehrsmittel]]="Flug", IF(AND(Tabelle28[[#This Row],[Entfernung (km) einfach]]&gt;10000),Tabelle28[[#This Row],[Entfernung (km) gesamt]]), 0)*Tabelle28[[#This Row],[Anzahl Studierende ]]</f>
        <v>0</v>
      </c>
      <c r="T35" s="8">
        <f>IF(Tabelle28[[#This Row],[Verkehrsmittel]]="Motorrad",Tabelle28[[#This Row],[Entfernung (km) gesamt]],0)*Tabelle28[[#This Row],[Anzahl Studierende ]]</f>
        <v>0</v>
      </c>
      <c r="U35" s="8">
        <f>IF(Tabelle28[[#This Row],[Verkehrsmittel]]="Straßen-, S-, U-Bahn",Tabelle28[[#This Row],[Entfernung (km) gesamt]],0)*Tabelle28[[#This Row],[Anzahl Studierende ]]</f>
        <v>0</v>
      </c>
      <c r="V35" s="8">
        <f>IF(Tabelle28[[#This Row],[Verkehrsmittel]]="Fahrrad",Tabelle28[[#This Row],[Entfernung (km) gesamt]],0)*Tabelle28[[#This Row],[Anzahl Studierende ]]</f>
        <v>0</v>
      </c>
    </row>
    <row r="36" spans="2:22" s="8" customFormat="1">
      <c r="B36" s="138"/>
      <c r="C36" s="139"/>
      <c r="D36" s="160"/>
      <c r="E36" s="111"/>
      <c r="F36" s="111"/>
      <c r="G36" s="111"/>
      <c r="H36" s="117">
        <f>Tabelle28[[#This Row],[Entfernung (km) einfach]]*2</f>
        <v>0</v>
      </c>
      <c r="I36" s="111"/>
      <c r="J36" s="140"/>
      <c r="K36" s="8">
        <f>IF(Tabelle28[[#This Row],[Verkehrsmittel]]="Bus",Tabelle28[[#This Row],[Entfernung (km) gesamt]],0)*Tabelle28[[#This Row],[Anzahl Studierende ]]</f>
        <v>0</v>
      </c>
      <c r="L36" s="8">
        <f>IF(Tabelle28[[#This Row],[Verkehrsmittel]]="Bahn",Tabelle28[[#This Row],[Anzahl Studierende ]]*Tabelle28[[#This Row],[Entfernung (km) gesamt]],0)</f>
        <v>0</v>
      </c>
      <c r="M36" s="8">
        <f>IF(Tabelle28[[#This Row],[Verkehrsmittel]]="PKW",Tabelle28[[#This Row],[Anzahl Studierende ]]*Tabelle28[[#This Row],[Entfernung (km) gesamt]],0)</f>
        <v>0</v>
      </c>
      <c r="N36" s="8">
        <f>IF(Tabelle28[[#This Row],[Verkehrsmittel]]="Flug", IF(AND(Tabelle28[[#This Row],[Entfernung (km) einfach]]&lt;500),Tabelle28[[#This Row],[Entfernung (km) gesamt]]), 0)*Tabelle28[[#This Row],[Anzahl Studierende ]]</f>
        <v>0</v>
      </c>
      <c r="O36" s="8">
        <f>IF(Tabelle28[[#This Row],[Verkehrsmittel]]="Flug", IF(AND(Tabelle28[[#This Row],[Entfernung (km) einfach]]&gt;500,Tabelle28[[#This Row],[Entfernung (km) einfach]]&lt;1000),Tabelle28[[#This Row],[Entfernung (km) gesamt]], 0), 0)*Tabelle28[[#This Row],[Anzahl Studierende ]]</f>
        <v>0</v>
      </c>
      <c r="P36" s="8">
        <f>IF(Tabelle28[[#This Row],[Verkehrsmittel]]="Flug", IF(AND(Tabelle28[[#This Row],[Entfernung (km) einfach]]&gt;1000,Tabelle28[[#This Row],[Entfernung (km) einfach]]&lt;2000),Tabelle28[[#This Row],[Entfernung (km) gesamt]], 0), 0)*Tabelle28[[#This Row],[Anzahl Studierende ]]</f>
        <v>0</v>
      </c>
      <c r="Q36" s="8">
        <f>IF(Tabelle28[[#This Row],[Verkehrsmittel]]="Flug", IF(AND(Tabelle28[[#This Row],[Entfernung (km) einfach]]&gt;2000,Tabelle28[[#This Row],[Entfernung (km) einfach]]&lt;5000),Tabelle28[[#This Row],[Entfernung (km) gesamt]], 0), 0)*Tabelle28[[#This Row],[Anzahl Studierende ]]</f>
        <v>0</v>
      </c>
      <c r="R36" s="8">
        <f>IF(Tabelle28[[#This Row],[Verkehrsmittel]]="Flug", IF(AND(Tabelle28[[#This Row],[Entfernung (km) einfach]]&gt;5000,Tabelle28[[#This Row],[Entfernung (km) einfach]]&lt;10000),Tabelle28[[#This Row],[Entfernung (km) gesamt]], 0), 0)*Tabelle28[[#This Row],[Anzahl Studierende ]]</f>
        <v>0</v>
      </c>
      <c r="S36" s="8">
        <f>IF(Tabelle28[[#This Row],[Verkehrsmittel]]="Flug", IF(AND(Tabelle28[[#This Row],[Entfernung (km) einfach]]&gt;10000),Tabelle28[[#This Row],[Entfernung (km) gesamt]]), 0)*Tabelle28[[#This Row],[Anzahl Studierende ]]</f>
        <v>0</v>
      </c>
      <c r="T36" s="8">
        <f>IF(Tabelle28[[#This Row],[Verkehrsmittel]]="Motorrad",Tabelle28[[#This Row],[Entfernung (km) gesamt]],0)*Tabelle28[[#This Row],[Anzahl Studierende ]]</f>
        <v>0</v>
      </c>
      <c r="U36" s="8">
        <f>IF(Tabelle28[[#This Row],[Verkehrsmittel]]="Straßen-, S-, U-Bahn",Tabelle28[[#This Row],[Entfernung (km) gesamt]],0)*Tabelle28[[#This Row],[Anzahl Studierende ]]</f>
        <v>0</v>
      </c>
      <c r="V36" s="8">
        <f>IF(Tabelle28[[#This Row],[Verkehrsmittel]]="Fahrrad",Tabelle28[[#This Row],[Entfernung (km) gesamt]],0)*Tabelle28[[#This Row],[Anzahl Studierende ]]</f>
        <v>0</v>
      </c>
    </row>
    <row r="37" spans="2:22" s="8" customFormat="1">
      <c r="B37" s="138"/>
      <c r="C37" s="139"/>
      <c r="D37" s="160"/>
      <c r="E37" s="111"/>
      <c r="F37" s="111"/>
      <c r="G37" s="111"/>
      <c r="H37" s="117">
        <f>Tabelle28[[#This Row],[Entfernung (km) einfach]]*2</f>
        <v>0</v>
      </c>
      <c r="I37" s="111"/>
      <c r="J37" s="140"/>
      <c r="K37" s="8">
        <f>IF(Tabelle28[[#This Row],[Verkehrsmittel]]="Bus",Tabelle28[[#This Row],[Entfernung (km) gesamt]],0)*Tabelle28[[#This Row],[Anzahl Studierende ]]</f>
        <v>0</v>
      </c>
      <c r="L37" s="8">
        <f>IF(Tabelle28[[#This Row],[Verkehrsmittel]]="Bahn",Tabelle28[[#This Row],[Anzahl Studierende ]]*Tabelle28[[#This Row],[Entfernung (km) gesamt]],0)</f>
        <v>0</v>
      </c>
      <c r="M37" s="8">
        <f>IF(Tabelle28[[#This Row],[Verkehrsmittel]]="PKW",Tabelle28[[#This Row],[Anzahl Studierende ]]*Tabelle28[[#This Row],[Entfernung (km) gesamt]],0)</f>
        <v>0</v>
      </c>
      <c r="N37" s="8">
        <f>IF(Tabelle28[[#This Row],[Verkehrsmittel]]="Flug", IF(AND(Tabelle28[[#This Row],[Entfernung (km) einfach]]&lt;500),Tabelle28[[#This Row],[Entfernung (km) gesamt]]), 0)*Tabelle28[[#This Row],[Anzahl Studierende ]]</f>
        <v>0</v>
      </c>
      <c r="O37" s="8">
        <f>IF(Tabelle28[[#This Row],[Verkehrsmittel]]="Flug", IF(AND(Tabelle28[[#This Row],[Entfernung (km) einfach]]&gt;500,Tabelle28[[#This Row],[Entfernung (km) einfach]]&lt;1000),Tabelle28[[#This Row],[Entfernung (km) gesamt]], 0), 0)*Tabelle28[[#This Row],[Anzahl Studierende ]]</f>
        <v>0</v>
      </c>
      <c r="P37" s="8">
        <f>IF(Tabelle28[[#This Row],[Verkehrsmittel]]="Flug", IF(AND(Tabelle28[[#This Row],[Entfernung (km) einfach]]&gt;1000,Tabelle28[[#This Row],[Entfernung (km) einfach]]&lt;2000),Tabelle28[[#This Row],[Entfernung (km) gesamt]], 0), 0)*Tabelle28[[#This Row],[Anzahl Studierende ]]</f>
        <v>0</v>
      </c>
      <c r="Q37" s="8">
        <f>IF(Tabelle28[[#This Row],[Verkehrsmittel]]="Flug", IF(AND(Tabelle28[[#This Row],[Entfernung (km) einfach]]&gt;2000,Tabelle28[[#This Row],[Entfernung (km) einfach]]&lt;5000),Tabelle28[[#This Row],[Entfernung (km) gesamt]], 0), 0)*Tabelle28[[#This Row],[Anzahl Studierende ]]</f>
        <v>0</v>
      </c>
      <c r="R37" s="8">
        <f>IF(Tabelle28[[#This Row],[Verkehrsmittel]]="Flug", IF(AND(Tabelle28[[#This Row],[Entfernung (km) einfach]]&gt;5000,Tabelle28[[#This Row],[Entfernung (km) einfach]]&lt;10000),Tabelle28[[#This Row],[Entfernung (km) gesamt]], 0), 0)*Tabelle28[[#This Row],[Anzahl Studierende ]]</f>
        <v>0</v>
      </c>
      <c r="S37" s="8">
        <f>IF(Tabelle28[[#This Row],[Verkehrsmittel]]="Flug", IF(AND(Tabelle28[[#This Row],[Entfernung (km) einfach]]&gt;10000),Tabelle28[[#This Row],[Entfernung (km) gesamt]]), 0)*Tabelle28[[#This Row],[Anzahl Studierende ]]</f>
        <v>0</v>
      </c>
      <c r="T37" s="8">
        <f>IF(Tabelle28[[#This Row],[Verkehrsmittel]]="Motorrad",Tabelle28[[#This Row],[Entfernung (km) gesamt]],0)*Tabelle28[[#This Row],[Anzahl Studierende ]]</f>
        <v>0</v>
      </c>
      <c r="U37" s="8">
        <f>IF(Tabelle28[[#This Row],[Verkehrsmittel]]="Straßen-, S-, U-Bahn",Tabelle28[[#This Row],[Entfernung (km) gesamt]],0)*Tabelle28[[#This Row],[Anzahl Studierende ]]</f>
        <v>0</v>
      </c>
      <c r="V37" s="8">
        <f>IF(Tabelle28[[#This Row],[Verkehrsmittel]]="Fahrrad",Tabelle28[[#This Row],[Entfernung (km) gesamt]],0)*Tabelle28[[#This Row],[Anzahl Studierende ]]</f>
        <v>0</v>
      </c>
    </row>
    <row r="38" spans="2:22" s="8" customFormat="1">
      <c r="B38" s="138"/>
      <c r="C38" s="139"/>
      <c r="D38" s="160"/>
      <c r="E38" s="111"/>
      <c r="F38" s="111"/>
      <c r="G38" s="111"/>
      <c r="H38" s="117">
        <f>Tabelle28[[#This Row],[Entfernung (km) einfach]]*2</f>
        <v>0</v>
      </c>
      <c r="I38" s="111"/>
      <c r="J38" s="140"/>
      <c r="K38" s="8">
        <f>IF(Tabelle28[[#This Row],[Verkehrsmittel]]="Bus",Tabelle28[[#This Row],[Entfernung (km) gesamt]],0)*Tabelle28[[#This Row],[Anzahl Studierende ]]</f>
        <v>0</v>
      </c>
      <c r="L38" s="8">
        <f>IF(Tabelle28[[#This Row],[Verkehrsmittel]]="Bahn",Tabelle28[[#This Row],[Anzahl Studierende ]]*Tabelle28[[#This Row],[Entfernung (km) gesamt]],0)</f>
        <v>0</v>
      </c>
      <c r="M38" s="8">
        <f>IF(Tabelle28[[#This Row],[Verkehrsmittel]]="PKW",Tabelle28[[#This Row],[Anzahl Studierende ]]*Tabelle28[[#This Row],[Entfernung (km) gesamt]],0)</f>
        <v>0</v>
      </c>
      <c r="N38" s="8">
        <f>IF(Tabelle28[[#This Row],[Verkehrsmittel]]="Flug", IF(AND(Tabelle28[[#This Row],[Entfernung (km) einfach]]&lt;500),Tabelle28[[#This Row],[Entfernung (km) gesamt]]), 0)*Tabelle28[[#This Row],[Anzahl Studierende ]]</f>
        <v>0</v>
      </c>
      <c r="O38" s="8">
        <f>IF(Tabelle28[[#This Row],[Verkehrsmittel]]="Flug", IF(AND(Tabelle28[[#This Row],[Entfernung (km) einfach]]&gt;500,Tabelle28[[#This Row],[Entfernung (km) einfach]]&lt;1000),Tabelle28[[#This Row],[Entfernung (km) gesamt]], 0), 0)*Tabelle28[[#This Row],[Anzahl Studierende ]]</f>
        <v>0</v>
      </c>
      <c r="P38" s="8">
        <f>IF(Tabelle28[[#This Row],[Verkehrsmittel]]="Flug", IF(AND(Tabelle28[[#This Row],[Entfernung (km) einfach]]&gt;1000,Tabelle28[[#This Row],[Entfernung (km) einfach]]&lt;2000),Tabelle28[[#This Row],[Entfernung (km) gesamt]], 0), 0)*Tabelle28[[#This Row],[Anzahl Studierende ]]</f>
        <v>0</v>
      </c>
      <c r="Q38" s="8">
        <f>IF(Tabelle28[[#This Row],[Verkehrsmittel]]="Flug", IF(AND(Tabelle28[[#This Row],[Entfernung (km) einfach]]&gt;2000,Tabelle28[[#This Row],[Entfernung (km) einfach]]&lt;5000),Tabelle28[[#This Row],[Entfernung (km) gesamt]], 0), 0)*Tabelle28[[#This Row],[Anzahl Studierende ]]</f>
        <v>0</v>
      </c>
      <c r="R38" s="8">
        <f>IF(Tabelle28[[#This Row],[Verkehrsmittel]]="Flug", IF(AND(Tabelle28[[#This Row],[Entfernung (km) einfach]]&gt;5000,Tabelle28[[#This Row],[Entfernung (km) einfach]]&lt;10000),Tabelle28[[#This Row],[Entfernung (km) gesamt]], 0), 0)*Tabelle28[[#This Row],[Anzahl Studierende ]]</f>
        <v>0</v>
      </c>
      <c r="S38" s="8">
        <f>IF(Tabelle28[[#This Row],[Verkehrsmittel]]="Flug", IF(AND(Tabelle28[[#This Row],[Entfernung (km) einfach]]&gt;10000),Tabelle28[[#This Row],[Entfernung (km) gesamt]]), 0)*Tabelle28[[#This Row],[Anzahl Studierende ]]</f>
        <v>0</v>
      </c>
      <c r="T38" s="8">
        <f>IF(Tabelle28[[#This Row],[Verkehrsmittel]]="Motorrad",Tabelle28[[#This Row],[Entfernung (km) gesamt]],0)*Tabelle28[[#This Row],[Anzahl Studierende ]]</f>
        <v>0</v>
      </c>
      <c r="U38" s="8">
        <f>IF(Tabelle28[[#This Row],[Verkehrsmittel]]="Straßen-, S-, U-Bahn",Tabelle28[[#This Row],[Entfernung (km) gesamt]],0)*Tabelle28[[#This Row],[Anzahl Studierende ]]</f>
        <v>0</v>
      </c>
      <c r="V38" s="8">
        <f>IF(Tabelle28[[#This Row],[Verkehrsmittel]]="Fahrrad",Tabelle28[[#This Row],[Entfernung (km) gesamt]],0)*Tabelle28[[#This Row],[Anzahl Studierende ]]</f>
        <v>0</v>
      </c>
    </row>
    <row r="39" spans="2:22" s="8" customFormat="1" ht="14.4" thickBot="1">
      <c r="B39" s="141"/>
      <c r="C39" s="142"/>
      <c r="D39" s="162"/>
      <c r="E39" s="122"/>
      <c r="F39" s="122"/>
      <c r="G39" s="122"/>
      <c r="H39" s="143">
        <f>Tabelle28[[#This Row],[Entfernung (km) einfach]]*2</f>
        <v>0</v>
      </c>
      <c r="I39" s="122"/>
      <c r="J39" s="144"/>
      <c r="K39" s="8">
        <f>IF(Tabelle28[[#This Row],[Verkehrsmittel]]="Bus",Tabelle28[[#This Row],[Entfernung (km) gesamt]],0)*Tabelle28[[#This Row],[Anzahl Studierende ]]</f>
        <v>0</v>
      </c>
      <c r="L39" s="8">
        <f>IF(Tabelle28[[#This Row],[Verkehrsmittel]]="Bahn",Tabelle28[[#This Row],[Anzahl Studierende ]]*Tabelle28[[#This Row],[Entfernung (km) gesamt]],0)</f>
        <v>0</v>
      </c>
      <c r="M39" s="8">
        <f>IF(Tabelle28[[#This Row],[Verkehrsmittel]]="PKW",Tabelle28[[#This Row],[Anzahl Studierende ]]*Tabelle28[[#This Row],[Entfernung (km) gesamt]],0)</f>
        <v>0</v>
      </c>
      <c r="N39" s="8">
        <f>IF(Tabelle28[[#This Row],[Verkehrsmittel]]="Flug", IF(AND(Tabelle28[[#This Row],[Entfernung (km) einfach]]&lt;500),Tabelle28[[#This Row],[Entfernung (km) gesamt]]), 0)*Tabelle28[[#This Row],[Anzahl Studierende ]]</f>
        <v>0</v>
      </c>
      <c r="O39" s="8">
        <f>IF(Tabelle28[[#This Row],[Verkehrsmittel]]="Flug", IF(AND(Tabelle28[[#This Row],[Entfernung (km) einfach]]&gt;500,Tabelle28[[#This Row],[Entfernung (km) einfach]]&lt;1000),Tabelle28[[#This Row],[Entfernung (km) gesamt]], 0), 0)*Tabelle28[[#This Row],[Anzahl Studierende ]]</f>
        <v>0</v>
      </c>
      <c r="P39" s="8">
        <f>IF(Tabelle28[[#This Row],[Verkehrsmittel]]="Flug", IF(AND(Tabelle28[[#This Row],[Entfernung (km) einfach]]&gt;1000,Tabelle28[[#This Row],[Entfernung (km) einfach]]&lt;2000),Tabelle28[[#This Row],[Entfernung (km) gesamt]], 0), 0)*Tabelle28[[#This Row],[Anzahl Studierende ]]</f>
        <v>0</v>
      </c>
      <c r="Q39" s="8">
        <f>IF(Tabelle28[[#This Row],[Verkehrsmittel]]="Flug", IF(AND(Tabelle28[[#This Row],[Entfernung (km) einfach]]&gt;2000,Tabelle28[[#This Row],[Entfernung (km) einfach]]&lt;5000),Tabelle28[[#This Row],[Entfernung (km) gesamt]], 0), 0)*Tabelle28[[#This Row],[Anzahl Studierende ]]</f>
        <v>0</v>
      </c>
      <c r="R39" s="8">
        <f>IF(Tabelle28[[#This Row],[Verkehrsmittel]]="Flug", IF(AND(Tabelle28[[#This Row],[Entfernung (km) einfach]]&gt;5000,Tabelle28[[#This Row],[Entfernung (km) einfach]]&lt;10000),Tabelle28[[#This Row],[Entfernung (km) gesamt]], 0), 0)*Tabelle28[[#This Row],[Anzahl Studierende ]]</f>
        <v>0</v>
      </c>
      <c r="S39" s="8">
        <f>IF(Tabelle28[[#This Row],[Verkehrsmittel]]="Flug", IF(AND(Tabelle28[[#This Row],[Entfernung (km) einfach]]&gt;10000),Tabelle28[[#This Row],[Entfernung (km) gesamt]]), 0)*Tabelle28[[#This Row],[Anzahl Studierende ]]</f>
        <v>0</v>
      </c>
      <c r="T39" s="8">
        <f>IF(Tabelle28[[#This Row],[Verkehrsmittel]]="Motorrad",Tabelle28[[#This Row],[Entfernung (km) gesamt]],0)*Tabelle28[[#This Row],[Anzahl Studierende ]]</f>
        <v>0</v>
      </c>
      <c r="U39" s="8">
        <f>IF(Tabelle28[[#This Row],[Verkehrsmittel]]="Straßen-, S-, U-Bahn",Tabelle28[[#This Row],[Entfernung (km) gesamt]],0)*Tabelle28[[#This Row],[Anzahl Studierende ]]</f>
        <v>0</v>
      </c>
      <c r="V39" s="8">
        <f>IF(Tabelle28[[#This Row],[Verkehrsmittel]]="Fahrrad",Tabelle28[[#This Row],[Entfernung (km) gesamt]],0)*Tabelle28[[#This Row],[Anzahl Studierende ]]</f>
        <v>0</v>
      </c>
    </row>
    <row r="40" spans="2:22" ht="14.4" thickBot="1">
      <c r="B40" s="163"/>
      <c r="C40" s="164"/>
      <c r="D40" s="165"/>
      <c r="E40" s="164"/>
      <c r="F40" s="164"/>
      <c r="G40" s="164"/>
      <c r="H40" s="164"/>
      <c r="I40" s="164"/>
      <c r="J40" s="166"/>
      <c r="K40" s="5">
        <f>SUM(Tabelle28[Km Bus])</f>
        <v>0</v>
      </c>
      <c r="L40" s="5">
        <f>SUM(Tabelle28[Km Bahn])</f>
        <v>0</v>
      </c>
      <c r="M40" s="5">
        <f>SUM(Tabelle28[Km PKW])</f>
        <v>0</v>
      </c>
      <c r="N40" s="5">
        <f>SUM(Tabelle28[Flug bis 500])</f>
        <v>0</v>
      </c>
      <c r="O40" s="5">
        <f>SUM(Tabelle28[Flug 500 - 1000 km])</f>
        <v>0</v>
      </c>
      <c r="P40" s="5">
        <f>SUM(Tabelle28[Flug 1000 - 2000])</f>
        <v>0</v>
      </c>
      <c r="Q40" s="5">
        <f>SUM(Tabelle28[Flug 2000 - 5000])</f>
        <v>0</v>
      </c>
      <c r="R40" s="5">
        <f>SUM(Tabelle28[Flug 5000 - 10000])</f>
        <v>0</v>
      </c>
      <c r="S40" s="5">
        <f>SUM(Tabelle28[Flug über 10000])</f>
        <v>0</v>
      </c>
      <c r="T40" s="5">
        <f>SUM(Tabelle28[Motorrad])</f>
        <v>0</v>
      </c>
      <c r="U40" s="5">
        <f>SUM(Tabelle28[Straßen-, S-, U-Bahn])</f>
        <v>0</v>
      </c>
      <c r="V40" s="5">
        <f>SUM(Tabelle28[Fahrrad])</f>
        <v>0</v>
      </c>
    </row>
  </sheetData>
  <sheetProtection algorithmName="SHA-512" hashValue="xCdi1tLoGUaylt5Vgw73hBODwTcH/2RCyWgCi/uBSw9Ygh2sFGKwLIAPz2SNtL6dxrT6GK/GTcx18FnuDyxwhw==" saltValue="LBy+J2Fk/tgi6hNXYxR9yQ==" spinCount="100000" sheet="1" objects="1" formatCells="0" formatColumns="0" formatRows="0" insertColumns="0" insertRows="0" insertHyperlinks="0" deleteColumns="0" deleteRows="0" sort="0" autoFilter="0" pivotTables="0"/>
  <mergeCells count="2">
    <mergeCell ref="B5:C5"/>
    <mergeCell ref="F2:G5"/>
  </mergeCell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36EEB1E-839B-466E-9C85-F10EA8476784}">
          <x14:formula1>
            <xm:f>Hilfstabelle!$A$1:$A$8</xm:f>
          </x14:formula1>
          <xm:sqref>I8:I39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0"/>
  <sheetViews>
    <sheetView showGridLines="0" workbookViewId="0">
      <selection activeCell="E3" sqref="E3"/>
    </sheetView>
  </sheetViews>
  <sheetFormatPr baseColWidth="10" defaultRowHeight="13.8"/>
  <cols>
    <col min="1" max="1" width="21.8984375" bestFit="1" customWidth="1"/>
    <col min="2" max="3" width="11.19921875" style="20"/>
    <col min="4" max="4" width="20.8984375" style="168" bestFit="1" customWidth="1"/>
    <col min="5" max="5" width="30.69921875" style="20" bestFit="1" customWidth="1"/>
    <col min="6" max="6" width="21.59765625" style="20" customWidth="1"/>
    <col min="7" max="7" width="24.3984375" style="168" bestFit="1" customWidth="1"/>
    <col min="8" max="8" width="24.19921875" style="168" bestFit="1" customWidth="1"/>
    <col min="9" max="9" width="15.8984375" style="20" bestFit="1" customWidth="1"/>
    <col min="10" max="10" width="14.296875" style="20" bestFit="1" customWidth="1"/>
    <col min="11" max="18" width="11.19921875" hidden="1" customWidth="1"/>
    <col min="19" max="19" width="16.8984375" hidden="1" customWidth="1"/>
    <col min="20" max="22" width="0" hidden="1" customWidth="1"/>
  </cols>
  <sheetData>
    <row r="1" spans="1:22" ht="14.4" thickBot="1"/>
    <row r="2" spans="1:22" ht="14.4" thickBot="1">
      <c r="B2" s="98"/>
      <c r="F2" s="94" t="s">
        <v>51</v>
      </c>
      <c r="G2" s="95"/>
    </row>
    <row r="3" spans="1:22" ht="14.4" thickBot="1">
      <c r="A3" s="1" t="s">
        <v>19</v>
      </c>
      <c r="B3" s="54" t="s">
        <v>47</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8" t="s">
        <v>33</v>
      </c>
      <c r="U7" s="9" t="s">
        <v>34</v>
      </c>
      <c r="V7" s="9" t="s">
        <v>10</v>
      </c>
    </row>
    <row r="8" spans="1:22" ht="15.6">
      <c r="B8" s="104"/>
      <c r="C8" s="105"/>
      <c r="D8" s="106"/>
      <c r="E8" s="107"/>
      <c r="F8" s="107"/>
      <c r="G8" s="106"/>
      <c r="H8" s="107">
        <f>Tabelle29[[#This Row],[Entfernung (km) einfach]]*2</f>
        <v>0</v>
      </c>
      <c r="I8" s="107"/>
      <c r="J8" s="158"/>
      <c r="K8" s="7">
        <f>IF(Tabelle29[[#This Row],[Verkehrsmittel]]="Bus",Tabelle29[[#This Row],[Entfernung (km) gesamt]],0)*Tabelle29[[#This Row],[Anzahl Studierende ]]</f>
        <v>0</v>
      </c>
      <c r="L8" s="7">
        <f>IF(Tabelle29[[#This Row],[Verkehrsmittel]]="Bahn",Tabelle29[[#This Row],[Anzahl Studierende ]]*Tabelle29[[#This Row],[Entfernung (km) gesamt]],0)</f>
        <v>0</v>
      </c>
      <c r="M8" s="7">
        <f>IF(Tabelle29[[#This Row],[Verkehrsmittel]]="PKW",Tabelle29[[#This Row],[Anzahl Studierende ]]*Tabelle29[[#This Row],[Entfernung (km) gesamt]],0)</f>
        <v>0</v>
      </c>
      <c r="N8" s="7">
        <f>IF(Tabelle29[[#This Row],[Verkehrsmittel]]="Flug", IF(AND(Tabelle29[[#This Row],[Entfernung (km) einfach]]&lt;500),Tabelle29[[#This Row],[Entfernung (km) gesamt]]), 0)*Tabelle29[[#This Row],[Anzahl Studierende ]]</f>
        <v>0</v>
      </c>
      <c r="O8" s="7">
        <f>IF(Tabelle29[[#This Row],[Verkehrsmittel]]="Flug", IF(AND(Tabelle29[[#This Row],[Entfernung (km) einfach]]&gt;500,Tabelle29[[#This Row],[Entfernung (km) einfach]]&lt;1000),Tabelle29[[#This Row],[Entfernung (km) gesamt]], 0), 0)*Tabelle29[[#This Row],[Anzahl Studierende ]]</f>
        <v>0</v>
      </c>
      <c r="P8" s="7">
        <f>IF(Tabelle29[[#This Row],[Verkehrsmittel]]="Flug", IF(AND(Tabelle29[[#This Row],[Entfernung (km) einfach]]&gt;1000,Tabelle29[[#This Row],[Entfernung (km) einfach]]&lt;2000),Tabelle29[[#This Row],[Entfernung (km) gesamt]], 0), 0)*Tabelle29[[#This Row],[Anzahl Studierende ]]</f>
        <v>0</v>
      </c>
      <c r="Q8" s="7">
        <f>IF(Tabelle29[[#This Row],[Verkehrsmittel]]="Flug", IF(AND(Tabelle29[[#This Row],[Entfernung (km) einfach]]&gt;2000,Tabelle29[[#This Row],[Entfernung (km) einfach]]&lt;5000),Tabelle29[[#This Row],[Entfernung (km) gesamt]], 0), 0)*Tabelle29[[#This Row],[Anzahl Studierende ]]</f>
        <v>0</v>
      </c>
      <c r="R8" s="7">
        <f>IF(Tabelle29[[#This Row],[Verkehrsmittel]]="Flug", IF(AND(Tabelle29[[#This Row],[Entfernung (km) einfach]]&gt;5000,Tabelle29[[#This Row],[Entfernung (km) einfach]]&lt;10000),Tabelle29[[#This Row],[Entfernung (km) gesamt]], 0), 0)*Tabelle29[[#This Row],[Anzahl Studierende ]]</f>
        <v>0</v>
      </c>
      <c r="S8" s="7">
        <f>IF(Tabelle29[[#This Row],[Verkehrsmittel]]="Flug", IF(AND(Tabelle29[[#This Row],[Entfernung (km) einfach]]&gt;10000),Tabelle29[[#This Row],[Entfernung (km) gesamt]]), 0)*Tabelle29[[#This Row],[Anzahl Studierende ]]</f>
        <v>0</v>
      </c>
      <c r="T8" s="9">
        <f>IF(Tabelle29[[#This Row],[Verkehrsmittel]]="Motorrad",Tabelle29[[#This Row],[Entfernung (km) gesamt]],0)*Tabelle29[[#This Row],[Anzahl Studierende ]]</f>
        <v>0</v>
      </c>
      <c r="U8" s="9">
        <f>IF(Tabelle29[[#This Row],[Verkehrsmittel]]="Straßen-, S-, U-Bahn",Tabelle29[[#This Row],[Entfernung (km) gesamt]],0)*Tabelle29[[#This Row],[Anzahl Studierende ]]</f>
        <v>0</v>
      </c>
      <c r="V8" s="9">
        <f>IF(Tabelle29[[#This Row],[Verkehrsmittel]]="Fahrrad",Tabelle29[[#This Row],[Entfernung (km) gesamt]],0)*Tabelle29[[#This Row],[Anzahl Studierende ]]</f>
        <v>0</v>
      </c>
    </row>
    <row r="9" spans="1:22">
      <c r="B9" s="159"/>
      <c r="C9" s="111"/>
      <c r="D9" s="160"/>
      <c r="E9" s="111"/>
      <c r="F9" s="111"/>
      <c r="G9" s="111"/>
      <c r="H9" s="111">
        <f>Tabelle29[[#This Row],[Entfernung (km) einfach]]*2</f>
        <v>0</v>
      </c>
      <c r="I9" s="111"/>
      <c r="J9" s="140"/>
      <c r="K9">
        <f>IF(Tabelle29[[#This Row],[Verkehrsmittel]]="Bus",Tabelle29[[#This Row],[Entfernung (km) gesamt]],0)*Tabelle29[[#This Row],[Anzahl Studierende ]]</f>
        <v>0</v>
      </c>
      <c r="L9">
        <f>IF(Tabelle29[[#This Row],[Verkehrsmittel]]="Bahn",Tabelle29[[#This Row],[Anzahl Studierende ]]*Tabelle29[[#This Row],[Entfernung (km) gesamt]],0)</f>
        <v>0</v>
      </c>
      <c r="M9">
        <f>IF(Tabelle29[[#This Row],[Verkehrsmittel]]="PKW",Tabelle29[[#This Row],[Anzahl Studierende ]]*Tabelle29[[#This Row],[Entfernung (km) gesamt]],0)</f>
        <v>0</v>
      </c>
      <c r="N9">
        <f>IF(Tabelle29[[#This Row],[Verkehrsmittel]]="Flug", IF(AND(Tabelle29[[#This Row],[Entfernung (km) einfach]]&lt;500),Tabelle29[[#This Row],[Entfernung (km) gesamt]]), 0)*Tabelle29[[#This Row],[Anzahl Studierende ]]</f>
        <v>0</v>
      </c>
      <c r="O9">
        <f>IF(Tabelle29[[#This Row],[Verkehrsmittel]]="Flug", IF(AND(Tabelle29[[#This Row],[Entfernung (km) einfach]]&gt;500,Tabelle29[[#This Row],[Entfernung (km) einfach]]&lt;1000),Tabelle29[[#This Row],[Entfernung (km) gesamt]], 0), 0)*Tabelle29[[#This Row],[Anzahl Studierende ]]</f>
        <v>0</v>
      </c>
      <c r="P9">
        <f>IF(Tabelle29[[#This Row],[Verkehrsmittel]]="Flug", IF(AND(Tabelle29[[#This Row],[Entfernung (km) einfach]]&gt;1000,Tabelle29[[#This Row],[Entfernung (km) einfach]]&lt;2000),Tabelle29[[#This Row],[Entfernung (km) gesamt]], 0), 0)*Tabelle29[[#This Row],[Anzahl Studierende ]]</f>
        <v>0</v>
      </c>
      <c r="Q9">
        <f>IF(Tabelle29[[#This Row],[Verkehrsmittel]]="Flug", IF(AND(Tabelle29[[#This Row],[Entfernung (km) einfach]]&gt;2000,Tabelle29[[#This Row],[Entfernung (km) einfach]]&lt;5000),Tabelle29[[#This Row],[Entfernung (km) gesamt]], 0), 0)*Tabelle29[[#This Row],[Anzahl Studierende ]]</f>
        <v>0</v>
      </c>
      <c r="R9">
        <f>IF(Tabelle29[[#This Row],[Verkehrsmittel]]="Flug", IF(AND(Tabelle29[[#This Row],[Entfernung (km) einfach]]&gt;5000,Tabelle29[[#This Row],[Entfernung (km) einfach]]&lt;10000),Tabelle29[[#This Row],[Entfernung (km) gesamt]], 0), 0)*Tabelle29[[#This Row],[Anzahl Studierende ]]</f>
        <v>0</v>
      </c>
      <c r="S9">
        <f>IF(Tabelle29[[#This Row],[Verkehrsmittel]]="Flug", IF(AND(Tabelle29[[#This Row],[Entfernung (km) einfach]]&gt;10000),Tabelle29[[#This Row],[Entfernung (km) gesamt]]), 0)*Tabelle29[[#This Row],[Anzahl Studierende ]]</f>
        <v>0</v>
      </c>
      <c r="T9">
        <f>IF(Tabelle29[[#This Row],[Verkehrsmittel]]="Motorrad",Tabelle29[[#This Row],[Entfernung (km) gesamt]],0)*Tabelle29[[#This Row],[Anzahl Studierende ]]</f>
        <v>0</v>
      </c>
      <c r="U9">
        <f>IF(Tabelle29[[#This Row],[Verkehrsmittel]]="Straßen-, S-, U-Bahn",Tabelle29[[#This Row],[Entfernung (km) gesamt]],0)*Tabelle29[[#This Row],[Anzahl Studierende ]]</f>
        <v>0</v>
      </c>
      <c r="V9">
        <f>IF(Tabelle29[[#This Row],[Verkehrsmittel]]="Fahrrad",Tabelle29[[#This Row],[Entfernung (km) gesamt]],0)*Tabelle29[[#This Row],[Anzahl Studierende ]]</f>
        <v>0</v>
      </c>
    </row>
    <row r="10" spans="1:22">
      <c r="B10" s="159"/>
      <c r="C10" s="111"/>
      <c r="D10" s="160"/>
      <c r="E10" s="111"/>
      <c r="F10" s="111"/>
      <c r="G10" s="111"/>
      <c r="H10" s="111">
        <f>Tabelle29[[#This Row],[Entfernung (km) einfach]]*2</f>
        <v>0</v>
      </c>
      <c r="I10" s="111"/>
      <c r="J10" s="140"/>
      <c r="K10">
        <f>IF(Tabelle29[[#This Row],[Verkehrsmittel]]="Bus",Tabelle29[[#This Row],[Entfernung (km) gesamt]],0)*Tabelle29[[#This Row],[Anzahl Studierende ]]</f>
        <v>0</v>
      </c>
      <c r="L10">
        <f>IF(Tabelle29[[#This Row],[Verkehrsmittel]]="Bahn",Tabelle29[[#This Row],[Anzahl Studierende ]]*Tabelle29[[#This Row],[Entfernung (km) gesamt]],0)</f>
        <v>0</v>
      </c>
      <c r="M10">
        <f>IF(Tabelle29[[#This Row],[Verkehrsmittel]]="PKW",Tabelle29[[#This Row],[Anzahl Studierende ]]*Tabelle29[[#This Row],[Entfernung (km) gesamt]],0)</f>
        <v>0</v>
      </c>
      <c r="N10">
        <f>IF(Tabelle29[[#This Row],[Verkehrsmittel]]="Flug", IF(AND(Tabelle29[[#This Row],[Entfernung (km) einfach]]&lt;500),Tabelle29[[#This Row],[Entfernung (km) gesamt]]), 0)*Tabelle29[[#This Row],[Anzahl Studierende ]]</f>
        <v>0</v>
      </c>
      <c r="O10">
        <f>IF(Tabelle29[[#This Row],[Verkehrsmittel]]="Flug", IF(AND(Tabelle29[[#This Row],[Entfernung (km) einfach]]&gt;500,Tabelle29[[#This Row],[Entfernung (km) einfach]]&lt;1000),Tabelle29[[#This Row],[Entfernung (km) gesamt]], 0), 0)*Tabelle29[[#This Row],[Anzahl Studierende ]]</f>
        <v>0</v>
      </c>
      <c r="P10">
        <f>IF(Tabelle29[[#This Row],[Verkehrsmittel]]="Flug", IF(AND(Tabelle29[[#This Row],[Entfernung (km) einfach]]&gt;1000,Tabelle29[[#This Row],[Entfernung (km) einfach]]&lt;2000),Tabelle29[[#This Row],[Entfernung (km) gesamt]], 0), 0)*Tabelle29[[#This Row],[Anzahl Studierende ]]</f>
        <v>0</v>
      </c>
      <c r="Q10">
        <f>IF(Tabelle29[[#This Row],[Verkehrsmittel]]="Flug", IF(AND(Tabelle29[[#This Row],[Entfernung (km) einfach]]&gt;2000,Tabelle29[[#This Row],[Entfernung (km) einfach]]&lt;5000),Tabelle29[[#This Row],[Entfernung (km) gesamt]], 0), 0)*Tabelle29[[#This Row],[Anzahl Studierende ]]</f>
        <v>0</v>
      </c>
      <c r="R10">
        <f>IF(Tabelle29[[#This Row],[Verkehrsmittel]]="Flug", IF(AND(Tabelle29[[#This Row],[Entfernung (km) einfach]]&gt;5000,Tabelle29[[#This Row],[Entfernung (km) einfach]]&lt;10000),Tabelle29[[#This Row],[Entfernung (km) gesamt]], 0), 0)*Tabelle29[[#This Row],[Anzahl Studierende ]]</f>
        <v>0</v>
      </c>
      <c r="S10">
        <f>IF(Tabelle29[[#This Row],[Verkehrsmittel]]="Flug", IF(AND(Tabelle29[[#This Row],[Entfernung (km) einfach]]&gt;10000),Tabelle29[[#This Row],[Entfernung (km) gesamt]]), 0)*Tabelle29[[#This Row],[Anzahl Studierende ]]</f>
        <v>0</v>
      </c>
      <c r="T10">
        <f>IF(Tabelle29[[#This Row],[Verkehrsmittel]]="Motorrad",Tabelle29[[#This Row],[Entfernung (km) gesamt]],0)*Tabelle29[[#This Row],[Anzahl Studierende ]]</f>
        <v>0</v>
      </c>
      <c r="U10">
        <f>IF(Tabelle29[[#This Row],[Verkehrsmittel]]="Straßen-, S-, U-Bahn",Tabelle29[[#This Row],[Entfernung (km) gesamt]],0)*Tabelle29[[#This Row],[Anzahl Studierende ]]</f>
        <v>0</v>
      </c>
      <c r="V10">
        <f>IF(Tabelle29[[#This Row],[Verkehrsmittel]]="Fahrrad",Tabelle29[[#This Row],[Entfernung (km) gesamt]],0)*Tabelle29[[#This Row],[Anzahl Studierende ]]</f>
        <v>0</v>
      </c>
    </row>
    <row r="11" spans="1:22">
      <c r="B11" s="159"/>
      <c r="C11" s="111"/>
      <c r="D11" s="160"/>
      <c r="E11" s="111"/>
      <c r="F11" s="111"/>
      <c r="G11" s="111"/>
      <c r="H11" s="111">
        <f>Tabelle29[[#This Row],[Entfernung (km) einfach]]*2</f>
        <v>0</v>
      </c>
      <c r="I11" s="111"/>
      <c r="J11" s="140"/>
      <c r="K11">
        <f>IF(Tabelle29[[#This Row],[Verkehrsmittel]]="Bus",Tabelle29[[#This Row],[Entfernung (km) gesamt]],0)*Tabelle29[[#This Row],[Anzahl Studierende ]]</f>
        <v>0</v>
      </c>
      <c r="L11">
        <f>IF(Tabelle29[[#This Row],[Verkehrsmittel]]="Bahn",Tabelle29[[#This Row],[Anzahl Studierende ]]*Tabelle29[[#This Row],[Entfernung (km) gesamt]],0)</f>
        <v>0</v>
      </c>
      <c r="M11">
        <f>IF(Tabelle29[[#This Row],[Verkehrsmittel]]="PKW",Tabelle29[[#This Row],[Anzahl Studierende ]]*Tabelle29[[#This Row],[Entfernung (km) gesamt]],0)</f>
        <v>0</v>
      </c>
      <c r="N11">
        <f>IF(Tabelle29[[#This Row],[Verkehrsmittel]]="Flug", IF(AND(Tabelle29[[#This Row],[Entfernung (km) einfach]]&lt;500),Tabelle29[[#This Row],[Entfernung (km) gesamt]]), 0)*Tabelle29[[#This Row],[Anzahl Studierende ]]</f>
        <v>0</v>
      </c>
      <c r="O11">
        <f>IF(Tabelle29[[#This Row],[Verkehrsmittel]]="Flug", IF(AND(Tabelle29[[#This Row],[Entfernung (km) einfach]]&gt;500,Tabelle29[[#This Row],[Entfernung (km) einfach]]&lt;1000),Tabelle29[[#This Row],[Entfernung (km) gesamt]], 0), 0)*Tabelle29[[#This Row],[Anzahl Studierende ]]</f>
        <v>0</v>
      </c>
      <c r="P11">
        <f>IF(Tabelle29[[#This Row],[Verkehrsmittel]]="Flug", IF(AND(Tabelle29[[#This Row],[Entfernung (km) einfach]]&gt;1000,Tabelle29[[#This Row],[Entfernung (km) einfach]]&lt;2000),Tabelle29[[#This Row],[Entfernung (km) gesamt]], 0), 0)*Tabelle29[[#This Row],[Anzahl Studierende ]]</f>
        <v>0</v>
      </c>
      <c r="Q11">
        <f>IF(Tabelle29[[#This Row],[Verkehrsmittel]]="Flug", IF(AND(Tabelle29[[#This Row],[Entfernung (km) einfach]]&gt;2000,Tabelle29[[#This Row],[Entfernung (km) einfach]]&lt;5000),Tabelle29[[#This Row],[Entfernung (km) gesamt]], 0), 0)*Tabelle29[[#This Row],[Anzahl Studierende ]]</f>
        <v>0</v>
      </c>
      <c r="R11">
        <f>IF(Tabelle29[[#This Row],[Verkehrsmittel]]="Flug", IF(AND(Tabelle29[[#This Row],[Entfernung (km) einfach]]&gt;5000,Tabelle29[[#This Row],[Entfernung (km) einfach]]&lt;10000),Tabelle29[[#This Row],[Entfernung (km) gesamt]], 0), 0)*Tabelle29[[#This Row],[Anzahl Studierende ]]</f>
        <v>0</v>
      </c>
      <c r="S11">
        <f>IF(Tabelle29[[#This Row],[Verkehrsmittel]]="Flug", IF(AND(Tabelle29[[#This Row],[Entfernung (km) einfach]]&gt;10000),Tabelle29[[#This Row],[Entfernung (km) gesamt]]), 0)*Tabelle29[[#This Row],[Anzahl Studierende ]]</f>
        <v>0</v>
      </c>
      <c r="T11">
        <f>IF(Tabelle29[[#This Row],[Verkehrsmittel]]="Motorrad",Tabelle29[[#This Row],[Entfernung (km) gesamt]],0)*Tabelle29[[#This Row],[Anzahl Studierende ]]</f>
        <v>0</v>
      </c>
      <c r="U11">
        <f>IF(Tabelle29[[#This Row],[Verkehrsmittel]]="Straßen-, S-, U-Bahn",Tabelle29[[#This Row],[Entfernung (km) gesamt]],0)*Tabelle29[[#This Row],[Anzahl Studierende ]]</f>
        <v>0</v>
      </c>
      <c r="V11">
        <f>IF(Tabelle29[[#This Row],[Verkehrsmittel]]="Fahrrad",Tabelle29[[#This Row],[Entfernung (km) gesamt]],0)*Tabelle29[[#This Row],[Anzahl Studierende ]]</f>
        <v>0</v>
      </c>
    </row>
    <row r="12" spans="1:22">
      <c r="B12" s="159"/>
      <c r="C12" s="111"/>
      <c r="D12" s="160"/>
      <c r="E12" s="111"/>
      <c r="F12" s="111"/>
      <c r="G12" s="111"/>
      <c r="H12" s="111">
        <f>Tabelle29[[#This Row],[Entfernung (km) einfach]]*2</f>
        <v>0</v>
      </c>
      <c r="I12" s="111"/>
      <c r="J12" s="140"/>
      <c r="K12">
        <f>IF(Tabelle29[[#This Row],[Verkehrsmittel]]="Bus",Tabelle29[[#This Row],[Entfernung (km) gesamt]],0)*Tabelle29[[#This Row],[Anzahl Studierende ]]</f>
        <v>0</v>
      </c>
      <c r="L12">
        <f>IF(Tabelle29[[#This Row],[Verkehrsmittel]]="Bahn",Tabelle29[[#This Row],[Anzahl Studierende ]]*Tabelle29[[#This Row],[Entfernung (km) gesamt]],0)</f>
        <v>0</v>
      </c>
      <c r="M12">
        <f>IF(Tabelle29[[#This Row],[Verkehrsmittel]]="PKW",Tabelle29[[#This Row],[Anzahl Studierende ]]*Tabelle29[[#This Row],[Entfernung (km) gesamt]],0)</f>
        <v>0</v>
      </c>
      <c r="N12">
        <f>IF(Tabelle29[[#This Row],[Verkehrsmittel]]="Flug", IF(AND(Tabelle29[[#This Row],[Entfernung (km) einfach]]&lt;500),Tabelle29[[#This Row],[Entfernung (km) gesamt]]), 0)*Tabelle29[[#This Row],[Anzahl Studierende ]]</f>
        <v>0</v>
      </c>
      <c r="O12">
        <f>IF(Tabelle29[[#This Row],[Verkehrsmittel]]="Flug", IF(AND(Tabelle29[[#This Row],[Entfernung (km) einfach]]&gt;500,Tabelle29[[#This Row],[Entfernung (km) einfach]]&lt;1000),Tabelle29[[#This Row],[Entfernung (km) gesamt]], 0), 0)*Tabelle29[[#This Row],[Anzahl Studierende ]]</f>
        <v>0</v>
      </c>
      <c r="P12">
        <f>IF(Tabelle29[[#This Row],[Verkehrsmittel]]="Flug", IF(AND(Tabelle29[[#This Row],[Entfernung (km) einfach]]&gt;1000,Tabelle29[[#This Row],[Entfernung (km) einfach]]&lt;2000),Tabelle29[[#This Row],[Entfernung (km) gesamt]], 0), 0)*Tabelle29[[#This Row],[Anzahl Studierende ]]</f>
        <v>0</v>
      </c>
      <c r="Q12">
        <f>IF(Tabelle29[[#This Row],[Verkehrsmittel]]="Flug", IF(AND(Tabelle29[[#This Row],[Entfernung (km) einfach]]&gt;2000,Tabelle29[[#This Row],[Entfernung (km) einfach]]&lt;5000),Tabelle29[[#This Row],[Entfernung (km) gesamt]], 0), 0)*Tabelle29[[#This Row],[Anzahl Studierende ]]</f>
        <v>0</v>
      </c>
      <c r="R12">
        <f>IF(Tabelle29[[#This Row],[Verkehrsmittel]]="Flug", IF(AND(Tabelle29[[#This Row],[Entfernung (km) einfach]]&gt;5000,Tabelle29[[#This Row],[Entfernung (km) einfach]]&lt;10000),Tabelle29[[#This Row],[Entfernung (km) gesamt]], 0), 0)*Tabelle29[[#This Row],[Anzahl Studierende ]]</f>
        <v>0</v>
      </c>
      <c r="S12">
        <f>IF(Tabelle29[[#This Row],[Verkehrsmittel]]="Flug", IF(AND(Tabelle29[[#This Row],[Entfernung (km) einfach]]&gt;10000),Tabelle29[[#This Row],[Entfernung (km) gesamt]]), 0)*Tabelle29[[#This Row],[Anzahl Studierende ]]</f>
        <v>0</v>
      </c>
      <c r="T12">
        <f>IF(Tabelle29[[#This Row],[Verkehrsmittel]]="Motorrad",Tabelle29[[#This Row],[Entfernung (km) gesamt]],0)*Tabelle29[[#This Row],[Anzahl Studierende ]]</f>
        <v>0</v>
      </c>
      <c r="U12">
        <f>IF(Tabelle29[[#This Row],[Verkehrsmittel]]="Straßen-, S-, U-Bahn",Tabelle29[[#This Row],[Entfernung (km) gesamt]],0)*Tabelle29[[#This Row],[Anzahl Studierende ]]</f>
        <v>0</v>
      </c>
      <c r="V12">
        <f>IF(Tabelle29[[#This Row],[Verkehrsmittel]]="Fahrrad",Tabelle29[[#This Row],[Entfernung (km) gesamt]],0)*Tabelle29[[#This Row],[Anzahl Studierende ]]</f>
        <v>0</v>
      </c>
    </row>
    <row r="13" spans="1:22">
      <c r="B13" s="159"/>
      <c r="C13" s="111"/>
      <c r="D13" s="160"/>
      <c r="E13" s="111"/>
      <c r="F13" s="111"/>
      <c r="G13" s="111"/>
      <c r="H13" s="111">
        <f>Tabelle29[[#This Row],[Entfernung (km) einfach]]*2</f>
        <v>0</v>
      </c>
      <c r="I13" s="111"/>
      <c r="J13" s="140"/>
      <c r="K13">
        <f>IF(Tabelle29[[#This Row],[Verkehrsmittel]]="Bus",Tabelle29[[#This Row],[Entfernung (km) gesamt]],0)*Tabelle29[[#This Row],[Anzahl Studierende ]]</f>
        <v>0</v>
      </c>
      <c r="L13">
        <f>IF(Tabelle29[[#This Row],[Verkehrsmittel]]="Bahn",Tabelle29[[#This Row],[Anzahl Studierende ]]*Tabelle29[[#This Row],[Entfernung (km) gesamt]],0)</f>
        <v>0</v>
      </c>
      <c r="M13">
        <f>IF(Tabelle29[[#This Row],[Verkehrsmittel]]="PKW",Tabelle29[[#This Row],[Anzahl Studierende ]]*Tabelle29[[#This Row],[Entfernung (km) gesamt]],0)</f>
        <v>0</v>
      </c>
      <c r="N13">
        <f>IF(Tabelle29[[#This Row],[Verkehrsmittel]]="Flug", IF(AND(Tabelle29[[#This Row],[Entfernung (km) einfach]]&lt;500),Tabelle29[[#This Row],[Entfernung (km) gesamt]]), 0)*Tabelle29[[#This Row],[Anzahl Studierende ]]</f>
        <v>0</v>
      </c>
      <c r="O13">
        <f>IF(Tabelle29[[#This Row],[Verkehrsmittel]]="Flug", IF(AND(Tabelle29[[#This Row],[Entfernung (km) einfach]]&gt;500,Tabelle29[[#This Row],[Entfernung (km) einfach]]&lt;1000),Tabelle29[[#This Row],[Entfernung (km) gesamt]], 0), 0)*Tabelle29[[#This Row],[Anzahl Studierende ]]</f>
        <v>0</v>
      </c>
      <c r="P13">
        <f>IF(Tabelle29[[#This Row],[Verkehrsmittel]]="Flug", IF(AND(Tabelle29[[#This Row],[Entfernung (km) einfach]]&gt;1000,Tabelle29[[#This Row],[Entfernung (km) einfach]]&lt;2000),Tabelle29[[#This Row],[Entfernung (km) gesamt]], 0), 0)*Tabelle29[[#This Row],[Anzahl Studierende ]]</f>
        <v>0</v>
      </c>
      <c r="Q13">
        <f>IF(Tabelle29[[#This Row],[Verkehrsmittel]]="Flug", IF(AND(Tabelle29[[#This Row],[Entfernung (km) einfach]]&gt;2000,Tabelle29[[#This Row],[Entfernung (km) einfach]]&lt;5000),Tabelle29[[#This Row],[Entfernung (km) gesamt]], 0), 0)*Tabelle29[[#This Row],[Anzahl Studierende ]]</f>
        <v>0</v>
      </c>
      <c r="R13">
        <f>IF(Tabelle29[[#This Row],[Verkehrsmittel]]="Flug", IF(AND(Tabelle29[[#This Row],[Entfernung (km) einfach]]&gt;5000,Tabelle29[[#This Row],[Entfernung (km) einfach]]&lt;10000),Tabelle29[[#This Row],[Entfernung (km) gesamt]], 0), 0)*Tabelle29[[#This Row],[Anzahl Studierende ]]</f>
        <v>0</v>
      </c>
      <c r="S13">
        <f>IF(Tabelle29[[#This Row],[Verkehrsmittel]]="Flug", IF(AND(Tabelle29[[#This Row],[Entfernung (km) einfach]]&gt;10000),Tabelle29[[#This Row],[Entfernung (km) gesamt]]), 0)*Tabelle29[[#This Row],[Anzahl Studierende ]]</f>
        <v>0</v>
      </c>
      <c r="T13">
        <f>IF(Tabelle29[[#This Row],[Verkehrsmittel]]="Motorrad",Tabelle29[[#This Row],[Entfernung (km) gesamt]],0)*Tabelle29[[#This Row],[Anzahl Studierende ]]</f>
        <v>0</v>
      </c>
      <c r="U13">
        <f>IF(Tabelle29[[#This Row],[Verkehrsmittel]]="Straßen-, S-, U-Bahn",Tabelle29[[#This Row],[Entfernung (km) gesamt]],0)*Tabelle29[[#This Row],[Anzahl Studierende ]]</f>
        <v>0</v>
      </c>
      <c r="V13">
        <f>IF(Tabelle29[[#This Row],[Verkehrsmittel]]="Fahrrad",Tabelle29[[#This Row],[Entfernung (km) gesamt]],0)*Tabelle29[[#This Row],[Anzahl Studierende ]]</f>
        <v>0</v>
      </c>
    </row>
    <row r="14" spans="1:22">
      <c r="B14" s="159"/>
      <c r="C14" s="111"/>
      <c r="D14" s="160"/>
      <c r="E14" s="111"/>
      <c r="F14" s="111"/>
      <c r="G14" s="111"/>
      <c r="H14" s="111">
        <f>Tabelle29[[#This Row],[Entfernung (km) einfach]]*2</f>
        <v>0</v>
      </c>
      <c r="I14" s="111"/>
      <c r="J14" s="140"/>
      <c r="K14">
        <f>IF(Tabelle29[[#This Row],[Verkehrsmittel]]="Bus",Tabelle29[[#This Row],[Entfernung (km) gesamt]],0)*Tabelle29[[#This Row],[Anzahl Studierende ]]</f>
        <v>0</v>
      </c>
      <c r="L14">
        <f>IF(Tabelle29[[#This Row],[Verkehrsmittel]]="Bahn",Tabelle29[[#This Row],[Anzahl Studierende ]]*Tabelle29[[#This Row],[Entfernung (km) gesamt]],0)</f>
        <v>0</v>
      </c>
      <c r="M14">
        <f>IF(Tabelle29[[#This Row],[Verkehrsmittel]]="PKW",Tabelle29[[#This Row],[Anzahl Studierende ]]*Tabelle29[[#This Row],[Entfernung (km) gesamt]],0)</f>
        <v>0</v>
      </c>
      <c r="N14">
        <f>IF(Tabelle29[[#This Row],[Verkehrsmittel]]="Flug", IF(AND(Tabelle29[[#This Row],[Entfernung (km) einfach]]&lt;500),Tabelle29[[#This Row],[Entfernung (km) gesamt]]), 0)*Tabelle29[[#This Row],[Anzahl Studierende ]]</f>
        <v>0</v>
      </c>
      <c r="O14">
        <f>IF(Tabelle29[[#This Row],[Verkehrsmittel]]="Flug", IF(AND(Tabelle29[[#This Row],[Entfernung (km) einfach]]&gt;500,Tabelle29[[#This Row],[Entfernung (km) einfach]]&lt;1000),Tabelle29[[#This Row],[Entfernung (km) gesamt]], 0), 0)*Tabelle29[[#This Row],[Anzahl Studierende ]]</f>
        <v>0</v>
      </c>
      <c r="P14">
        <f>IF(Tabelle29[[#This Row],[Verkehrsmittel]]="Flug", IF(AND(Tabelle29[[#This Row],[Entfernung (km) einfach]]&gt;1000,Tabelle29[[#This Row],[Entfernung (km) einfach]]&lt;2000),Tabelle29[[#This Row],[Entfernung (km) gesamt]], 0), 0)*Tabelle29[[#This Row],[Anzahl Studierende ]]</f>
        <v>0</v>
      </c>
      <c r="Q14">
        <f>IF(Tabelle29[[#This Row],[Verkehrsmittel]]="Flug", IF(AND(Tabelle29[[#This Row],[Entfernung (km) einfach]]&gt;2000,Tabelle29[[#This Row],[Entfernung (km) einfach]]&lt;5000),Tabelle29[[#This Row],[Entfernung (km) gesamt]], 0), 0)*Tabelle29[[#This Row],[Anzahl Studierende ]]</f>
        <v>0</v>
      </c>
      <c r="R14">
        <f>IF(Tabelle29[[#This Row],[Verkehrsmittel]]="Flug", IF(AND(Tabelle29[[#This Row],[Entfernung (km) einfach]]&gt;5000,Tabelle29[[#This Row],[Entfernung (km) einfach]]&lt;10000),Tabelle29[[#This Row],[Entfernung (km) gesamt]], 0), 0)*Tabelle29[[#This Row],[Anzahl Studierende ]]</f>
        <v>0</v>
      </c>
      <c r="S14">
        <f>IF(Tabelle29[[#This Row],[Verkehrsmittel]]="Flug", IF(AND(Tabelle29[[#This Row],[Entfernung (km) einfach]]&gt;10000),Tabelle29[[#This Row],[Entfernung (km) gesamt]]), 0)*Tabelle29[[#This Row],[Anzahl Studierende ]]</f>
        <v>0</v>
      </c>
      <c r="T14">
        <f>IF(Tabelle29[[#This Row],[Verkehrsmittel]]="Motorrad",Tabelle29[[#This Row],[Entfernung (km) gesamt]],0)*Tabelle29[[#This Row],[Anzahl Studierende ]]</f>
        <v>0</v>
      </c>
      <c r="U14">
        <f>IF(Tabelle29[[#This Row],[Verkehrsmittel]]="Straßen-, S-, U-Bahn",Tabelle29[[#This Row],[Entfernung (km) gesamt]],0)*Tabelle29[[#This Row],[Anzahl Studierende ]]</f>
        <v>0</v>
      </c>
      <c r="V14">
        <f>IF(Tabelle29[[#This Row],[Verkehrsmittel]]="Fahrrad",Tabelle29[[#This Row],[Entfernung (km) gesamt]],0)*Tabelle29[[#This Row],[Anzahl Studierende ]]</f>
        <v>0</v>
      </c>
    </row>
    <row r="15" spans="1:22">
      <c r="B15" s="159"/>
      <c r="C15" s="111"/>
      <c r="D15" s="160"/>
      <c r="E15" s="111"/>
      <c r="F15" s="111"/>
      <c r="G15" s="111"/>
      <c r="H15" s="111">
        <f>Tabelle29[[#This Row],[Entfernung (km) einfach]]*2</f>
        <v>0</v>
      </c>
      <c r="I15" s="111"/>
      <c r="J15" s="140"/>
      <c r="K15">
        <f>IF(Tabelle29[[#This Row],[Verkehrsmittel]]="Bus",Tabelle29[[#This Row],[Entfernung (km) gesamt]],0)*Tabelle29[[#This Row],[Anzahl Studierende ]]</f>
        <v>0</v>
      </c>
      <c r="L15">
        <f>IF(Tabelle29[[#This Row],[Verkehrsmittel]]="Bahn",Tabelle29[[#This Row],[Anzahl Studierende ]]*Tabelle29[[#This Row],[Entfernung (km) gesamt]],0)</f>
        <v>0</v>
      </c>
      <c r="M15">
        <f>IF(Tabelle29[[#This Row],[Verkehrsmittel]]="PKW",Tabelle29[[#This Row],[Anzahl Studierende ]]*Tabelle29[[#This Row],[Entfernung (km) gesamt]],0)</f>
        <v>0</v>
      </c>
      <c r="N15">
        <f>IF(Tabelle29[[#This Row],[Verkehrsmittel]]="Flug", IF(AND(Tabelle29[[#This Row],[Entfernung (km) einfach]]&lt;500),Tabelle29[[#This Row],[Entfernung (km) gesamt]]), 0)*Tabelle29[[#This Row],[Anzahl Studierende ]]</f>
        <v>0</v>
      </c>
      <c r="O15">
        <f>IF(Tabelle29[[#This Row],[Verkehrsmittel]]="Flug", IF(AND(Tabelle29[[#This Row],[Entfernung (km) einfach]]&gt;500,Tabelle29[[#This Row],[Entfernung (km) einfach]]&lt;1000),Tabelle29[[#This Row],[Entfernung (km) gesamt]], 0), 0)*Tabelle29[[#This Row],[Anzahl Studierende ]]</f>
        <v>0</v>
      </c>
      <c r="P15">
        <f>IF(Tabelle29[[#This Row],[Verkehrsmittel]]="Flug", IF(AND(Tabelle29[[#This Row],[Entfernung (km) einfach]]&gt;1000,Tabelle29[[#This Row],[Entfernung (km) einfach]]&lt;2000),Tabelle29[[#This Row],[Entfernung (km) gesamt]], 0), 0)*Tabelle29[[#This Row],[Anzahl Studierende ]]</f>
        <v>0</v>
      </c>
      <c r="Q15">
        <f>IF(Tabelle29[[#This Row],[Verkehrsmittel]]="Flug", IF(AND(Tabelle29[[#This Row],[Entfernung (km) einfach]]&gt;2000,Tabelle29[[#This Row],[Entfernung (km) einfach]]&lt;5000),Tabelle29[[#This Row],[Entfernung (km) gesamt]], 0), 0)*Tabelle29[[#This Row],[Anzahl Studierende ]]</f>
        <v>0</v>
      </c>
      <c r="R15">
        <f>IF(Tabelle29[[#This Row],[Verkehrsmittel]]="Flug", IF(AND(Tabelle29[[#This Row],[Entfernung (km) einfach]]&gt;5000,Tabelle29[[#This Row],[Entfernung (km) einfach]]&lt;10000),Tabelle29[[#This Row],[Entfernung (km) gesamt]], 0), 0)*Tabelle29[[#This Row],[Anzahl Studierende ]]</f>
        <v>0</v>
      </c>
      <c r="S15">
        <f>IF(Tabelle29[[#This Row],[Verkehrsmittel]]="Flug", IF(AND(Tabelle29[[#This Row],[Entfernung (km) einfach]]&gt;10000),Tabelle29[[#This Row],[Entfernung (km) gesamt]]), 0)*Tabelle29[[#This Row],[Anzahl Studierende ]]</f>
        <v>0</v>
      </c>
      <c r="T15">
        <f>IF(Tabelle29[[#This Row],[Verkehrsmittel]]="Motorrad",Tabelle29[[#This Row],[Entfernung (km) gesamt]],0)*Tabelle29[[#This Row],[Anzahl Studierende ]]</f>
        <v>0</v>
      </c>
      <c r="U15">
        <f>IF(Tabelle29[[#This Row],[Verkehrsmittel]]="Straßen-, S-, U-Bahn",Tabelle29[[#This Row],[Entfernung (km) gesamt]],0)*Tabelle29[[#This Row],[Anzahl Studierende ]]</f>
        <v>0</v>
      </c>
      <c r="V15">
        <f>IF(Tabelle29[[#This Row],[Verkehrsmittel]]="Fahrrad",Tabelle29[[#This Row],[Entfernung (km) gesamt]],0)*Tabelle29[[#This Row],[Anzahl Studierende ]]</f>
        <v>0</v>
      </c>
    </row>
    <row r="16" spans="1:22">
      <c r="B16" s="159"/>
      <c r="C16" s="111"/>
      <c r="D16" s="160"/>
      <c r="E16" s="111"/>
      <c r="F16" s="111"/>
      <c r="G16" s="111"/>
      <c r="H16" s="111">
        <f>Tabelle29[[#This Row],[Entfernung (km) einfach]]*2</f>
        <v>0</v>
      </c>
      <c r="I16" s="111"/>
      <c r="J16" s="140"/>
      <c r="K16">
        <f>IF(Tabelle29[[#This Row],[Verkehrsmittel]]="Bus",Tabelle29[[#This Row],[Entfernung (km) gesamt]],0)*Tabelle29[[#This Row],[Anzahl Studierende ]]</f>
        <v>0</v>
      </c>
      <c r="L16">
        <f>IF(Tabelle29[[#This Row],[Verkehrsmittel]]="Bahn",Tabelle29[[#This Row],[Anzahl Studierende ]]*Tabelle29[[#This Row],[Entfernung (km) gesamt]],0)</f>
        <v>0</v>
      </c>
      <c r="M16">
        <f>IF(Tabelle29[[#This Row],[Verkehrsmittel]]="PKW",Tabelle29[[#This Row],[Anzahl Studierende ]]*Tabelle29[[#This Row],[Entfernung (km) gesamt]],0)</f>
        <v>0</v>
      </c>
      <c r="N16">
        <f>IF(Tabelle29[[#This Row],[Verkehrsmittel]]="Flug", IF(AND(Tabelle29[[#This Row],[Entfernung (km) einfach]]&lt;500),Tabelle29[[#This Row],[Entfernung (km) gesamt]]), 0)*Tabelle29[[#This Row],[Anzahl Studierende ]]</f>
        <v>0</v>
      </c>
      <c r="O16">
        <f>IF(Tabelle29[[#This Row],[Verkehrsmittel]]="Flug", IF(AND(Tabelle29[[#This Row],[Entfernung (km) einfach]]&gt;500,Tabelle29[[#This Row],[Entfernung (km) einfach]]&lt;1000),Tabelle29[[#This Row],[Entfernung (km) gesamt]], 0), 0)*Tabelle29[[#This Row],[Anzahl Studierende ]]</f>
        <v>0</v>
      </c>
      <c r="P16">
        <f>IF(Tabelle29[[#This Row],[Verkehrsmittel]]="Flug", IF(AND(Tabelle29[[#This Row],[Entfernung (km) einfach]]&gt;1000,Tabelle29[[#This Row],[Entfernung (km) einfach]]&lt;2000),Tabelle29[[#This Row],[Entfernung (km) gesamt]], 0), 0)*Tabelle29[[#This Row],[Anzahl Studierende ]]</f>
        <v>0</v>
      </c>
      <c r="Q16">
        <f>IF(Tabelle29[[#This Row],[Verkehrsmittel]]="Flug", IF(AND(Tabelle29[[#This Row],[Entfernung (km) einfach]]&gt;2000,Tabelle29[[#This Row],[Entfernung (km) einfach]]&lt;5000),Tabelle29[[#This Row],[Entfernung (km) gesamt]], 0), 0)*Tabelle29[[#This Row],[Anzahl Studierende ]]</f>
        <v>0</v>
      </c>
      <c r="R16">
        <f>IF(Tabelle29[[#This Row],[Verkehrsmittel]]="Flug", IF(AND(Tabelle29[[#This Row],[Entfernung (km) einfach]]&gt;5000,Tabelle29[[#This Row],[Entfernung (km) einfach]]&lt;10000),Tabelle29[[#This Row],[Entfernung (km) gesamt]], 0), 0)*Tabelle29[[#This Row],[Anzahl Studierende ]]</f>
        <v>0</v>
      </c>
      <c r="S16">
        <f>IF(Tabelle29[[#This Row],[Verkehrsmittel]]="Flug", IF(AND(Tabelle29[[#This Row],[Entfernung (km) einfach]]&gt;10000),Tabelle29[[#This Row],[Entfernung (km) gesamt]]), 0)*Tabelle29[[#This Row],[Anzahl Studierende ]]</f>
        <v>0</v>
      </c>
      <c r="T16">
        <f>IF(Tabelle29[[#This Row],[Verkehrsmittel]]="Motorrad",Tabelle29[[#This Row],[Entfernung (km) gesamt]],0)*Tabelle29[[#This Row],[Anzahl Studierende ]]</f>
        <v>0</v>
      </c>
      <c r="U16">
        <f>IF(Tabelle29[[#This Row],[Verkehrsmittel]]="Straßen-, S-, U-Bahn",Tabelle29[[#This Row],[Entfernung (km) gesamt]],0)*Tabelle29[[#This Row],[Anzahl Studierende ]]</f>
        <v>0</v>
      </c>
      <c r="V16">
        <f>IF(Tabelle29[[#This Row],[Verkehrsmittel]]="Fahrrad",Tabelle29[[#This Row],[Entfernung (km) gesamt]],0)*Tabelle29[[#This Row],[Anzahl Studierende ]]</f>
        <v>0</v>
      </c>
    </row>
    <row r="17" spans="2:22">
      <c r="B17" s="159"/>
      <c r="C17" s="111"/>
      <c r="D17" s="160"/>
      <c r="E17" s="111"/>
      <c r="F17" s="111"/>
      <c r="G17" s="111"/>
      <c r="H17" s="111">
        <f>Tabelle29[[#This Row],[Entfernung (km) einfach]]*2</f>
        <v>0</v>
      </c>
      <c r="I17" s="111"/>
      <c r="J17" s="140"/>
      <c r="K17">
        <f>IF(Tabelle29[[#This Row],[Verkehrsmittel]]="Bus",Tabelle29[[#This Row],[Entfernung (km) gesamt]],0)*Tabelle29[[#This Row],[Anzahl Studierende ]]</f>
        <v>0</v>
      </c>
      <c r="L17">
        <f>IF(Tabelle29[[#This Row],[Verkehrsmittel]]="Bahn",Tabelle29[[#This Row],[Anzahl Studierende ]]*Tabelle29[[#This Row],[Entfernung (km) gesamt]],0)</f>
        <v>0</v>
      </c>
      <c r="M17">
        <f>IF(Tabelle29[[#This Row],[Verkehrsmittel]]="PKW",Tabelle29[[#This Row],[Anzahl Studierende ]]*Tabelle29[[#This Row],[Entfernung (km) gesamt]],0)</f>
        <v>0</v>
      </c>
      <c r="N17">
        <f>IF(Tabelle29[[#This Row],[Verkehrsmittel]]="Flug", IF(AND(Tabelle29[[#This Row],[Entfernung (km) einfach]]&lt;500),Tabelle29[[#This Row],[Entfernung (km) gesamt]]), 0)*Tabelle29[[#This Row],[Anzahl Studierende ]]</f>
        <v>0</v>
      </c>
      <c r="O17">
        <f>IF(Tabelle29[[#This Row],[Verkehrsmittel]]="Flug", IF(AND(Tabelle29[[#This Row],[Entfernung (km) einfach]]&gt;500,Tabelle29[[#This Row],[Entfernung (km) einfach]]&lt;1000),Tabelle29[[#This Row],[Entfernung (km) gesamt]], 0), 0)*Tabelle29[[#This Row],[Anzahl Studierende ]]</f>
        <v>0</v>
      </c>
      <c r="P17">
        <f>IF(Tabelle29[[#This Row],[Verkehrsmittel]]="Flug", IF(AND(Tabelle29[[#This Row],[Entfernung (km) einfach]]&gt;1000,Tabelle29[[#This Row],[Entfernung (km) einfach]]&lt;2000),Tabelle29[[#This Row],[Entfernung (km) gesamt]], 0), 0)*Tabelle29[[#This Row],[Anzahl Studierende ]]</f>
        <v>0</v>
      </c>
      <c r="Q17">
        <f>IF(Tabelle29[[#This Row],[Verkehrsmittel]]="Flug", IF(AND(Tabelle29[[#This Row],[Entfernung (km) einfach]]&gt;2000,Tabelle29[[#This Row],[Entfernung (km) einfach]]&lt;5000),Tabelle29[[#This Row],[Entfernung (km) gesamt]], 0), 0)*Tabelle29[[#This Row],[Anzahl Studierende ]]</f>
        <v>0</v>
      </c>
      <c r="R17">
        <f>IF(Tabelle29[[#This Row],[Verkehrsmittel]]="Flug", IF(AND(Tabelle29[[#This Row],[Entfernung (km) einfach]]&gt;5000,Tabelle29[[#This Row],[Entfernung (km) einfach]]&lt;10000),Tabelle29[[#This Row],[Entfernung (km) gesamt]], 0), 0)*Tabelle29[[#This Row],[Anzahl Studierende ]]</f>
        <v>0</v>
      </c>
      <c r="S17">
        <f>IF(Tabelle29[[#This Row],[Verkehrsmittel]]="Flug", IF(AND(Tabelle29[[#This Row],[Entfernung (km) einfach]]&gt;10000),Tabelle29[[#This Row],[Entfernung (km) gesamt]]), 0)*Tabelle29[[#This Row],[Anzahl Studierende ]]</f>
        <v>0</v>
      </c>
      <c r="T17">
        <f>IF(Tabelle29[[#This Row],[Verkehrsmittel]]="Motorrad",Tabelle29[[#This Row],[Entfernung (km) gesamt]],0)*Tabelle29[[#This Row],[Anzahl Studierende ]]</f>
        <v>0</v>
      </c>
      <c r="U17">
        <f>IF(Tabelle29[[#This Row],[Verkehrsmittel]]="Straßen-, S-, U-Bahn",Tabelle29[[#This Row],[Entfernung (km) gesamt]],0)*Tabelle29[[#This Row],[Anzahl Studierende ]]</f>
        <v>0</v>
      </c>
      <c r="V17">
        <f>IF(Tabelle29[[#This Row],[Verkehrsmittel]]="Fahrrad",Tabelle29[[#This Row],[Entfernung (km) gesamt]],0)*Tabelle29[[#This Row],[Anzahl Studierende ]]</f>
        <v>0</v>
      </c>
    </row>
    <row r="18" spans="2:22">
      <c r="B18" s="159"/>
      <c r="C18" s="111"/>
      <c r="D18" s="160"/>
      <c r="E18" s="111"/>
      <c r="F18" s="111"/>
      <c r="G18" s="111"/>
      <c r="H18" s="111">
        <f>Tabelle29[[#This Row],[Entfernung (km) einfach]]*2</f>
        <v>0</v>
      </c>
      <c r="I18" s="111"/>
      <c r="J18" s="140"/>
      <c r="K18">
        <f>IF(Tabelle29[[#This Row],[Verkehrsmittel]]="Bus",Tabelle29[[#This Row],[Entfernung (km) gesamt]],0)*Tabelle29[[#This Row],[Anzahl Studierende ]]</f>
        <v>0</v>
      </c>
      <c r="L18">
        <f>IF(Tabelle29[[#This Row],[Verkehrsmittel]]="Bahn",Tabelle29[[#This Row],[Anzahl Studierende ]]*Tabelle29[[#This Row],[Entfernung (km) gesamt]],0)</f>
        <v>0</v>
      </c>
      <c r="M18">
        <f>IF(Tabelle29[[#This Row],[Verkehrsmittel]]="PKW",Tabelle29[[#This Row],[Anzahl Studierende ]]*Tabelle29[[#This Row],[Entfernung (km) gesamt]],0)</f>
        <v>0</v>
      </c>
      <c r="N18">
        <f>IF(Tabelle29[[#This Row],[Verkehrsmittel]]="Flug", IF(AND(Tabelle29[[#This Row],[Entfernung (km) einfach]]&lt;500),Tabelle29[[#This Row],[Entfernung (km) gesamt]]), 0)*Tabelle29[[#This Row],[Anzahl Studierende ]]</f>
        <v>0</v>
      </c>
      <c r="O18">
        <f>IF(Tabelle29[[#This Row],[Verkehrsmittel]]="Flug", IF(AND(Tabelle29[[#This Row],[Entfernung (km) einfach]]&gt;500,Tabelle29[[#This Row],[Entfernung (km) einfach]]&lt;1000),Tabelle29[[#This Row],[Entfernung (km) gesamt]], 0), 0)*Tabelle29[[#This Row],[Anzahl Studierende ]]</f>
        <v>0</v>
      </c>
      <c r="P18">
        <f>IF(Tabelle29[[#This Row],[Verkehrsmittel]]="Flug", IF(AND(Tabelle29[[#This Row],[Entfernung (km) einfach]]&gt;1000,Tabelle29[[#This Row],[Entfernung (km) einfach]]&lt;2000),Tabelle29[[#This Row],[Entfernung (km) gesamt]], 0), 0)*Tabelle29[[#This Row],[Anzahl Studierende ]]</f>
        <v>0</v>
      </c>
      <c r="Q18">
        <f>IF(Tabelle29[[#This Row],[Verkehrsmittel]]="Flug", IF(AND(Tabelle29[[#This Row],[Entfernung (km) einfach]]&gt;2000,Tabelle29[[#This Row],[Entfernung (km) einfach]]&lt;5000),Tabelle29[[#This Row],[Entfernung (km) gesamt]], 0), 0)*Tabelle29[[#This Row],[Anzahl Studierende ]]</f>
        <v>0</v>
      </c>
      <c r="R18">
        <f>IF(Tabelle29[[#This Row],[Verkehrsmittel]]="Flug", IF(AND(Tabelle29[[#This Row],[Entfernung (km) einfach]]&gt;5000,Tabelle29[[#This Row],[Entfernung (km) einfach]]&lt;10000),Tabelle29[[#This Row],[Entfernung (km) gesamt]], 0), 0)*Tabelle29[[#This Row],[Anzahl Studierende ]]</f>
        <v>0</v>
      </c>
      <c r="S18">
        <f>IF(Tabelle29[[#This Row],[Verkehrsmittel]]="Flug", IF(AND(Tabelle29[[#This Row],[Entfernung (km) einfach]]&gt;10000),Tabelle29[[#This Row],[Entfernung (km) gesamt]]), 0)*Tabelle29[[#This Row],[Anzahl Studierende ]]</f>
        <v>0</v>
      </c>
      <c r="T18">
        <f>IF(Tabelle29[[#This Row],[Verkehrsmittel]]="Motorrad",Tabelle29[[#This Row],[Entfernung (km) gesamt]],0)*Tabelle29[[#This Row],[Anzahl Studierende ]]</f>
        <v>0</v>
      </c>
      <c r="U18">
        <f>IF(Tabelle29[[#This Row],[Verkehrsmittel]]="Straßen-, S-, U-Bahn",Tabelle29[[#This Row],[Entfernung (km) gesamt]],0)*Tabelle29[[#This Row],[Anzahl Studierende ]]</f>
        <v>0</v>
      </c>
      <c r="V18">
        <f>IF(Tabelle29[[#This Row],[Verkehrsmittel]]="Fahrrad",Tabelle29[[#This Row],[Entfernung (km) gesamt]],0)*Tabelle29[[#This Row],[Anzahl Studierende ]]</f>
        <v>0</v>
      </c>
    </row>
    <row r="19" spans="2:22">
      <c r="B19" s="159"/>
      <c r="C19" s="111"/>
      <c r="D19" s="160"/>
      <c r="E19" s="111"/>
      <c r="F19" s="111"/>
      <c r="G19" s="111"/>
      <c r="H19" s="111">
        <f>Tabelle29[[#This Row],[Entfernung (km) einfach]]*2</f>
        <v>0</v>
      </c>
      <c r="I19" s="111"/>
      <c r="J19" s="140"/>
      <c r="K19">
        <f>IF(Tabelle29[[#This Row],[Verkehrsmittel]]="Bus",Tabelle29[[#This Row],[Entfernung (km) gesamt]],0)*Tabelle29[[#This Row],[Anzahl Studierende ]]</f>
        <v>0</v>
      </c>
      <c r="L19">
        <f>IF(Tabelle29[[#This Row],[Verkehrsmittel]]="Bahn",Tabelle29[[#This Row],[Anzahl Studierende ]]*Tabelle29[[#This Row],[Entfernung (km) gesamt]],0)</f>
        <v>0</v>
      </c>
      <c r="M19">
        <f>IF(Tabelle29[[#This Row],[Verkehrsmittel]]="PKW",Tabelle29[[#This Row],[Anzahl Studierende ]]*Tabelle29[[#This Row],[Entfernung (km) gesamt]],0)</f>
        <v>0</v>
      </c>
      <c r="N19">
        <f>IF(Tabelle29[[#This Row],[Verkehrsmittel]]="Flug", IF(AND(Tabelle29[[#This Row],[Entfernung (km) einfach]]&lt;500),Tabelle29[[#This Row],[Entfernung (km) gesamt]]), 0)*Tabelle29[[#This Row],[Anzahl Studierende ]]</f>
        <v>0</v>
      </c>
      <c r="O19">
        <f>IF(Tabelle29[[#This Row],[Verkehrsmittel]]="Flug", IF(AND(Tabelle29[[#This Row],[Entfernung (km) einfach]]&gt;500,Tabelle29[[#This Row],[Entfernung (km) einfach]]&lt;1000),Tabelle29[[#This Row],[Entfernung (km) gesamt]], 0), 0)*Tabelle29[[#This Row],[Anzahl Studierende ]]</f>
        <v>0</v>
      </c>
      <c r="P19">
        <f>IF(Tabelle29[[#This Row],[Verkehrsmittel]]="Flug", IF(AND(Tabelle29[[#This Row],[Entfernung (km) einfach]]&gt;1000,Tabelle29[[#This Row],[Entfernung (km) einfach]]&lt;2000),Tabelle29[[#This Row],[Entfernung (km) gesamt]], 0), 0)*Tabelle29[[#This Row],[Anzahl Studierende ]]</f>
        <v>0</v>
      </c>
      <c r="Q19">
        <f>IF(Tabelle29[[#This Row],[Verkehrsmittel]]="Flug", IF(AND(Tabelle29[[#This Row],[Entfernung (km) einfach]]&gt;2000,Tabelle29[[#This Row],[Entfernung (km) einfach]]&lt;5000),Tabelle29[[#This Row],[Entfernung (km) gesamt]], 0), 0)*Tabelle29[[#This Row],[Anzahl Studierende ]]</f>
        <v>0</v>
      </c>
      <c r="R19">
        <f>IF(Tabelle29[[#This Row],[Verkehrsmittel]]="Flug", IF(AND(Tabelle29[[#This Row],[Entfernung (km) einfach]]&gt;5000,Tabelle29[[#This Row],[Entfernung (km) einfach]]&lt;10000),Tabelle29[[#This Row],[Entfernung (km) gesamt]], 0), 0)*Tabelle29[[#This Row],[Anzahl Studierende ]]</f>
        <v>0</v>
      </c>
      <c r="S19">
        <f>IF(Tabelle29[[#This Row],[Verkehrsmittel]]="Flug", IF(AND(Tabelle29[[#This Row],[Entfernung (km) einfach]]&gt;10000),Tabelle29[[#This Row],[Entfernung (km) gesamt]]), 0)*Tabelle29[[#This Row],[Anzahl Studierende ]]</f>
        <v>0</v>
      </c>
      <c r="T19">
        <f>IF(Tabelle29[[#This Row],[Verkehrsmittel]]="Motorrad",Tabelle29[[#This Row],[Entfernung (km) gesamt]],0)*Tabelle29[[#This Row],[Anzahl Studierende ]]</f>
        <v>0</v>
      </c>
      <c r="U19">
        <f>IF(Tabelle29[[#This Row],[Verkehrsmittel]]="Straßen-, S-, U-Bahn",Tabelle29[[#This Row],[Entfernung (km) gesamt]],0)*Tabelle29[[#This Row],[Anzahl Studierende ]]</f>
        <v>0</v>
      </c>
      <c r="V19">
        <f>IF(Tabelle29[[#This Row],[Verkehrsmittel]]="Fahrrad",Tabelle29[[#This Row],[Entfernung (km) gesamt]],0)*Tabelle29[[#This Row],[Anzahl Studierende ]]</f>
        <v>0</v>
      </c>
    </row>
    <row r="20" spans="2:22">
      <c r="B20" s="138"/>
      <c r="C20" s="139"/>
      <c r="D20" s="160"/>
      <c r="E20" s="111"/>
      <c r="F20" s="111"/>
      <c r="G20" s="111"/>
      <c r="H20" s="111">
        <f>Tabelle29[[#This Row],[Entfernung (km) einfach]]*2</f>
        <v>0</v>
      </c>
      <c r="I20" s="111"/>
      <c r="J20" s="140"/>
      <c r="K20">
        <f>IF(Tabelle29[[#This Row],[Verkehrsmittel]]="Bus",Tabelle29[[#This Row],[Entfernung (km) gesamt]],0)*Tabelle29[[#This Row],[Anzahl Studierende ]]</f>
        <v>0</v>
      </c>
      <c r="L20">
        <f>IF(Tabelle29[[#This Row],[Verkehrsmittel]]="Bahn",Tabelle29[[#This Row],[Anzahl Studierende ]]*Tabelle29[[#This Row],[Entfernung (km) gesamt]],0)</f>
        <v>0</v>
      </c>
      <c r="M20">
        <f>IF(Tabelle29[[#This Row],[Verkehrsmittel]]="PKW",Tabelle29[[#This Row],[Anzahl Studierende ]]*Tabelle29[[#This Row],[Entfernung (km) gesamt]],0)</f>
        <v>0</v>
      </c>
      <c r="N20">
        <f>IF(Tabelle29[[#This Row],[Verkehrsmittel]]="Flug", IF(AND(Tabelle29[[#This Row],[Entfernung (km) einfach]]&lt;500),Tabelle29[[#This Row],[Entfernung (km) gesamt]]), 0)*Tabelle29[[#This Row],[Anzahl Studierende ]]</f>
        <v>0</v>
      </c>
      <c r="O20">
        <f>IF(Tabelle29[[#This Row],[Verkehrsmittel]]="Flug", IF(AND(Tabelle29[[#This Row],[Entfernung (km) einfach]]&gt;500,Tabelle29[[#This Row],[Entfernung (km) einfach]]&lt;1000),Tabelle29[[#This Row],[Entfernung (km) gesamt]], 0), 0)*Tabelle29[[#This Row],[Anzahl Studierende ]]</f>
        <v>0</v>
      </c>
      <c r="P20">
        <f>IF(Tabelle29[[#This Row],[Verkehrsmittel]]="Flug", IF(AND(Tabelle29[[#This Row],[Entfernung (km) einfach]]&gt;1000,Tabelle29[[#This Row],[Entfernung (km) einfach]]&lt;2000),Tabelle29[[#This Row],[Entfernung (km) gesamt]], 0), 0)*Tabelle29[[#This Row],[Anzahl Studierende ]]</f>
        <v>0</v>
      </c>
      <c r="Q20">
        <f>IF(Tabelle29[[#This Row],[Verkehrsmittel]]="Flug", IF(AND(Tabelle29[[#This Row],[Entfernung (km) einfach]]&gt;2000,Tabelle29[[#This Row],[Entfernung (km) einfach]]&lt;5000),Tabelle29[[#This Row],[Entfernung (km) gesamt]], 0), 0)*Tabelle29[[#This Row],[Anzahl Studierende ]]</f>
        <v>0</v>
      </c>
      <c r="R20">
        <f>IF(Tabelle29[[#This Row],[Verkehrsmittel]]="Flug", IF(AND(Tabelle29[[#This Row],[Entfernung (km) einfach]]&gt;5000,Tabelle29[[#This Row],[Entfernung (km) einfach]]&lt;10000),Tabelle29[[#This Row],[Entfernung (km) gesamt]], 0), 0)*Tabelle29[[#This Row],[Anzahl Studierende ]]</f>
        <v>0</v>
      </c>
      <c r="S20">
        <f>IF(Tabelle29[[#This Row],[Verkehrsmittel]]="Flug", IF(AND(Tabelle29[[#This Row],[Entfernung (km) einfach]]&gt;10000),Tabelle29[[#This Row],[Entfernung (km) gesamt]]), 0)*Tabelle29[[#This Row],[Anzahl Studierende ]]</f>
        <v>0</v>
      </c>
      <c r="T20">
        <f>IF(Tabelle29[[#This Row],[Verkehrsmittel]]="Motorrad",Tabelle29[[#This Row],[Entfernung (km) gesamt]],0)*Tabelle29[[#This Row],[Anzahl Studierende ]]</f>
        <v>0</v>
      </c>
      <c r="U20">
        <f>IF(Tabelle29[[#This Row],[Verkehrsmittel]]="Straßen-, S-, U-Bahn",Tabelle29[[#This Row],[Entfernung (km) gesamt]],0)*Tabelle29[[#This Row],[Anzahl Studierende ]]</f>
        <v>0</v>
      </c>
      <c r="V20">
        <f>IF(Tabelle29[[#This Row],[Verkehrsmittel]]="Fahrrad",Tabelle29[[#This Row],[Entfernung (km) gesamt]],0)*Tabelle29[[#This Row],[Anzahl Studierende ]]</f>
        <v>0</v>
      </c>
    </row>
    <row r="21" spans="2:22">
      <c r="B21" s="138"/>
      <c r="C21" s="139"/>
      <c r="D21" s="160"/>
      <c r="E21" s="111"/>
      <c r="F21" s="111"/>
      <c r="G21" s="111"/>
      <c r="H21" s="111">
        <f>Tabelle29[[#This Row],[Entfernung (km) einfach]]*2</f>
        <v>0</v>
      </c>
      <c r="I21" s="111"/>
      <c r="J21" s="140"/>
      <c r="K21">
        <f>IF(Tabelle29[[#This Row],[Verkehrsmittel]]="Bus",Tabelle29[[#This Row],[Entfernung (km) gesamt]],0)*Tabelle29[[#This Row],[Anzahl Studierende ]]</f>
        <v>0</v>
      </c>
      <c r="L21">
        <f>IF(Tabelle29[[#This Row],[Verkehrsmittel]]="Bahn",Tabelle29[[#This Row],[Anzahl Studierende ]]*Tabelle29[[#This Row],[Entfernung (km) gesamt]],0)</f>
        <v>0</v>
      </c>
      <c r="M21">
        <f>IF(Tabelle29[[#This Row],[Verkehrsmittel]]="PKW",Tabelle29[[#This Row],[Anzahl Studierende ]]*Tabelle29[[#This Row],[Entfernung (km) gesamt]],0)</f>
        <v>0</v>
      </c>
      <c r="N21">
        <f>IF(Tabelle29[[#This Row],[Verkehrsmittel]]="Flug", IF(AND(Tabelle29[[#This Row],[Entfernung (km) einfach]]&lt;500),Tabelle29[[#This Row],[Entfernung (km) gesamt]]), 0)*Tabelle29[[#This Row],[Anzahl Studierende ]]</f>
        <v>0</v>
      </c>
      <c r="O21">
        <f>IF(Tabelle29[[#This Row],[Verkehrsmittel]]="Flug", IF(AND(Tabelle29[[#This Row],[Entfernung (km) einfach]]&gt;500,Tabelle29[[#This Row],[Entfernung (km) einfach]]&lt;1000),Tabelle29[[#This Row],[Entfernung (km) gesamt]], 0), 0)*Tabelle29[[#This Row],[Anzahl Studierende ]]</f>
        <v>0</v>
      </c>
      <c r="P21">
        <f>IF(Tabelle29[[#This Row],[Verkehrsmittel]]="Flug", IF(AND(Tabelle29[[#This Row],[Entfernung (km) einfach]]&gt;1000,Tabelle29[[#This Row],[Entfernung (km) einfach]]&lt;2000),Tabelle29[[#This Row],[Entfernung (km) gesamt]], 0), 0)*Tabelle29[[#This Row],[Anzahl Studierende ]]</f>
        <v>0</v>
      </c>
      <c r="Q21">
        <f>IF(Tabelle29[[#This Row],[Verkehrsmittel]]="Flug", IF(AND(Tabelle29[[#This Row],[Entfernung (km) einfach]]&gt;2000,Tabelle29[[#This Row],[Entfernung (km) einfach]]&lt;5000),Tabelle29[[#This Row],[Entfernung (km) gesamt]], 0), 0)*Tabelle29[[#This Row],[Anzahl Studierende ]]</f>
        <v>0</v>
      </c>
      <c r="R21">
        <f>IF(Tabelle29[[#This Row],[Verkehrsmittel]]="Flug", IF(AND(Tabelle29[[#This Row],[Entfernung (km) einfach]]&gt;5000,Tabelle29[[#This Row],[Entfernung (km) einfach]]&lt;10000),Tabelle29[[#This Row],[Entfernung (km) gesamt]], 0), 0)*Tabelle29[[#This Row],[Anzahl Studierende ]]</f>
        <v>0</v>
      </c>
      <c r="S21">
        <f>IF(Tabelle29[[#This Row],[Verkehrsmittel]]="Flug", IF(AND(Tabelle29[[#This Row],[Entfernung (km) einfach]]&gt;10000),Tabelle29[[#This Row],[Entfernung (km) gesamt]]), 0)*Tabelle29[[#This Row],[Anzahl Studierende ]]</f>
        <v>0</v>
      </c>
      <c r="T21">
        <f>IF(Tabelle29[[#This Row],[Verkehrsmittel]]="Motorrad",Tabelle29[[#This Row],[Entfernung (km) gesamt]],0)*Tabelle29[[#This Row],[Anzahl Studierende ]]</f>
        <v>0</v>
      </c>
      <c r="U21">
        <f>IF(Tabelle29[[#This Row],[Verkehrsmittel]]="Straßen-, S-, U-Bahn",Tabelle29[[#This Row],[Entfernung (km) gesamt]],0)*Tabelle29[[#This Row],[Anzahl Studierende ]]</f>
        <v>0</v>
      </c>
      <c r="V21">
        <f>IF(Tabelle29[[#This Row],[Verkehrsmittel]]="Fahrrad",Tabelle29[[#This Row],[Entfernung (km) gesamt]],0)*Tabelle29[[#This Row],[Anzahl Studierende ]]</f>
        <v>0</v>
      </c>
    </row>
    <row r="22" spans="2:22" ht="15.6">
      <c r="B22" s="138"/>
      <c r="C22" s="139"/>
      <c r="D22" s="161"/>
      <c r="E22" s="111"/>
      <c r="F22" s="111"/>
      <c r="G22" s="111"/>
      <c r="H22" s="111">
        <f>Tabelle29[[#This Row],[Entfernung (km) einfach]]*2</f>
        <v>0</v>
      </c>
      <c r="I22" s="111"/>
      <c r="J22" s="140"/>
      <c r="K22" s="6">
        <f>IF(Tabelle29[[#This Row],[Verkehrsmittel]]="Bus",Tabelle29[[#This Row],[Entfernung (km) gesamt]],0)*Tabelle29[[#This Row],[Anzahl Studierende ]]</f>
        <v>0</v>
      </c>
      <c r="L22" s="13">
        <f>IF(Tabelle29[[#This Row],[Verkehrsmittel]]="Bahn",Tabelle29[[#This Row],[Anzahl Studierende ]]*Tabelle29[[#This Row],[Entfernung (km) gesamt]],0)</f>
        <v>0</v>
      </c>
      <c r="M22" s="7">
        <f>IF(Tabelle29[[#This Row],[Verkehrsmittel]]="PKW",Tabelle29[[#This Row],[Anzahl Studierende ]]*Tabelle29[[#This Row],[Entfernung (km) gesamt]],0)</f>
        <v>0</v>
      </c>
      <c r="N22" s="13">
        <f>IF(Tabelle29[[#This Row],[Verkehrsmittel]]="Flug", IF(AND(Tabelle29[[#This Row],[Entfernung (km) einfach]]&lt;500),Tabelle29[[#This Row],[Entfernung (km) gesamt]]), 0)*Tabelle29[[#This Row],[Anzahl Studierende ]]</f>
        <v>0</v>
      </c>
      <c r="O22" s="13">
        <f>IF(Tabelle29[[#This Row],[Verkehrsmittel]]="Flug", IF(AND(Tabelle29[[#This Row],[Entfernung (km) einfach]]&gt;500,Tabelle29[[#This Row],[Entfernung (km) einfach]]&lt;1000),Tabelle29[[#This Row],[Entfernung (km) gesamt]], 0), 0)*Tabelle29[[#This Row],[Anzahl Studierende ]]</f>
        <v>0</v>
      </c>
      <c r="P22" s="13">
        <f>IF(Tabelle29[[#This Row],[Verkehrsmittel]]="Flug", IF(AND(Tabelle29[[#This Row],[Entfernung (km) einfach]]&gt;1000,Tabelle29[[#This Row],[Entfernung (km) einfach]]&lt;2000),Tabelle29[[#This Row],[Entfernung (km) gesamt]], 0), 0)*Tabelle29[[#This Row],[Anzahl Studierende ]]</f>
        <v>0</v>
      </c>
      <c r="Q22" s="13">
        <f>IF(Tabelle29[[#This Row],[Verkehrsmittel]]="Flug", IF(AND(Tabelle29[[#This Row],[Entfernung (km) einfach]]&gt;2000,Tabelle29[[#This Row],[Entfernung (km) einfach]]&lt;5000),Tabelle29[[#This Row],[Entfernung (km) gesamt]], 0), 0)*Tabelle29[[#This Row],[Anzahl Studierende ]]</f>
        <v>0</v>
      </c>
      <c r="R22" s="13">
        <f>IF(Tabelle29[[#This Row],[Verkehrsmittel]]="Flug", IF(AND(Tabelle29[[#This Row],[Entfernung (km) einfach]]&gt;5000,Tabelle29[[#This Row],[Entfernung (km) einfach]]&lt;10000),Tabelle29[[#This Row],[Entfernung (km) gesamt]], 0), 0)*Tabelle29[[#This Row],[Anzahl Studierende ]]</f>
        <v>0</v>
      </c>
      <c r="S22">
        <f>IF(Tabelle29[[#This Row],[Verkehrsmittel]]="Flug", IF(AND(Tabelle29[[#This Row],[Entfernung (km) einfach]]&gt;10000),Tabelle29[[#This Row],[Entfernung (km) gesamt]]), 0)*Tabelle29[[#This Row],[Anzahl Studierende ]]</f>
        <v>0</v>
      </c>
      <c r="T22">
        <f>IF(Tabelle29[[#This Row],[Verkehrsmittel]]="Motorrad",Tabelle29[[#This Row],[Entfernung (km) gesamt]],0)*Tabelle29[[#This Row],[Anzahl Studierende ]]</f>
        <v>0</v>
      </c>
      <c r="U22">
        <f>IF(Tabelle29[[#This Row],[Verkehrsmittel]]="Straßen-, S-, U-Bahn",Tabelle29[[#This Row],[Entfernung (km) gesamt]],0)*Tabelle29[[#This Row],[Anzahl Studierende ]]</f>
        <v>0</v>
      </c>
      <c r="V22">
        <f>IF(Tabelle29[[#This Row],[Verkehrsmittel]]="Fahrrad",Tabelle29[[#This Row],[Entfernung (km) gesamt]],0)*Tabelle29[[#This Row],[Anzahl Studierende ]]</f>
        <v>0</v>
      </c>
    </row>
    <row r="23" spans="2:22">
      <c r="B23" s="138"/>
      <c r="C23" s="139"/>
      <c r="D23" s="160"/>
      <c r="E23" s="111"/>
      <c r="F23" s="111"/>
      <c r="G23" s="111"/>
      <c r="H23" s="111">
        <f>Tabelle29[[#This Row],[Entfernung (km) einfach]]*2</f>
        <v>0</v>
      </c>
      <c r="I23" s="111"/>
      <c r="J23" s="140"/>
      <c r="K23">
        <f>IF(Tabelle29[[#This Row],[Verkehrsmittel]]="Bus",Tabelle29[[#This Row],[Entfernung (km) gesamt]],0)*Tabelle29[[#This Row],[Anzahl Studierende ]]</f>
        <v>0</v>
      </c>
      <c r="L23">
        <f>IF(Tabelle29[[#This Row],[Verkehrsmittel]]="Bahn",Tabelle29[[#This Row],[Anzahl Studierende ]]*Tabelle29[[#This Row],[Entfernung (km) gesamt]],0)</f>
        <v>0</v>
      </c>
      <c r="M23">
        <f>IF(Tabelle29[[#This Row],[Verkehrsmittel]]="PKW",Tabelle29[[#This Row],[Anzahl Studierende ]]*Tabelle29[[#This Row],[Entfernung (km) gesamt]],0)</f>
        <v>0</v>
      </c>
      <c r="N23">
        <f>IF(Tabelle29[[#This Row],[Verkehrsmittel]]="Flug", IF(AND(Tabelle29[[#This Row],[Entfernung (km) einfach]]&lt;500),Tabelle29[[#This Row],[Entfernung (km) gesamt]]), 0)*Tabelle29[[#This Row],[Anzahl Studierende ]]</f>
        <v>0</v>
      </c>
      <c r="O23">
        <f>IF(Tabelle29[[#This Row],[Verkehrsmittel]]="Flug", IF(AND(Tabelle29[[#This Row],[Entfernung (km) einfach]]&gt;500,Tabelle29[[#This Row],[Entfernung (km) einfach]]&lt;1000),Tabelle29[[#This Row],[Entfernung (km) gesamt]], 0), 0)*Tabelle29[[#This Row],[Anzahl Studierende ]]</f>
        <v>0</v>
      </c>
      <c r="P23">
        <f>IF(Tabelle29[[#This Row],[Verkehrsmittel]]="Flug", IF(AND(Tabelle29[[#This Row],[Entfernung (km) einfach]]&gt;1000,Tabelle29[[#This Row],[Entfernung (km) einfach]]&lt;2000),Tabelle29[[#This Row],[Entfernung (km) gesamt]], 0), 0)*Tabelle29[[#This Row],[Anzahl Studierende ]]</f>
        <v>0</v>
      </c>
      <c r="Q23">
        <f>IF(Tabelle29[[#This Row],[Verkehrsmittel]]="Flug", IF(AND(Tabelle29[[#This Row],[Entfernung (km) einfach]]&gt;2000,Tabelle29[[#This Row],[Entfernung (km) einfach]]&lt;5000),Tabelle29[[#This Row],[Entfernung (km) gesamt]], 0), 0)*Tabelle29[[#This Row],[Anzahl Studierende ]]</f>
        <v>0</v>
      </c>
      <c r="R23">
        <f>IF(Tabelle29[[#This Row],[Verkehrsmittel]]="Flug", IF(AND(Tabelle29[[#This Row],[Entfernung (km) einfach]]&gt;5000,Tabelle29[[#This Row],[Entfernung (km) einfach]]&lt;10000),Tabelle29[[#This Row],[Entfernung (km) gesamt]], 0), 0)*Tabelle29[[#This Row],[Anzahl Studierende ]]</f>
        <v>0</v>
      </c>
      <c r="S23">
        <f>IF(Tabelle29[[#This Row],[Verkehrsmittel]]="Flug", IF(AND(Tabelle29[[#This Row],[Entfernung (km) einfach]]&gt;10000),Tabelle29[[#This Row],[Entfernung (km) gesamt]]), 0)*Tabelle29[[#This Row],[Anzahl Studierende ]]</f>
        <v>0</v>
      </c>
      <c r="T23">
        <f>IF(Tabelle29[[#This Row],[Verkehrsmittel]]="Motorrad",Tabelle29[[#This Row],[Entfernung (km) gesamt]],0)*Tabelle29[[#This Row],[Anzahl Studierende ]]</f>
        <v>0</v>
      </c>
      <c r="U23">
        <f>IF(Tabelle29[[#This Row],[Verkehrsmittel]]="Straßen-, S-, U-Bahn",Tabelle29[[#This Row],[Entfernung (km) gesamt]],0)*Tabelle29[[#This Row],[Anzahl Studierende ]]</f>
        <v>0</v>
      </c>
      <c r="V23">
        <f>IF(Tabelle29[[#This Row],[Verkehrsmittel]]="Fahrrad",Tabelle29[[#This Row],[Entfernung (km) gesamt]],0)*Tabelle29[[#This Row],[Anzahl Studierende ]]</f>
        <v>0</v>
      </c>
    </row>
    <row r="24" spans="2:22">
      <c r="B24" s="138"/>
      <c r="C24" s="139"/>
      <c r="D24" s="160"/>
      <c r="E24" s="111"/>
      <c r="F24" s="111"/>
      <c r="G24" s="111"/>
      <c r="H24" s="111">
        <f>Tabelle29[[#This Row],[Entfernung (km) einfach]]*2</f>
        <v>0</v>
      </c>
      <c r="I24" s="111"/>
      <c r="J24" s="140"/>
      <c r="K24">
        <f>IF(Tabelle29[[#This Row],[Verkehrsmittel]]="Bus",Tabelle29[[#This Row],[Entfernung (km) gesamt]],0)*Tabelle29[[#This Row],[Anzahl Studierende ]]</f>
        <v>0</v>
      </c>
      <c r="L24">
        <f>IF(Tabelle29[[#This Row],[Verkehrsmittel]]="Bahn",Tabelle29[[#This Row],[Anzahl Studierende ]]*Tabelle29[[#This Row],[Entfernung (km) gesamt]],0)</f>
        <v>0</v>
      </c>
      <c r="M24">
        <f>IF(Tabelle29[[#This Row],[Verkehrsmittel]]="PKW",Tabelle29[[#This Row],[Anzahl Studierende ]]*Tabelle29[[#This Row],[Entfernung (km) gesamt]],0)</f>
        <v>0</v>
      </c>
      <c r="N24">
        <f>IF(Tabelle29[[#This Row],[Verkehrsmittel]]="Flug", IF(AND(Tabelle29[[#This Row],[Entfernung (km) einfach]]&lt;500),Tabelle29[[#This Row],[Entfernung (km) gesamt]]), 0)*Tabelle29[[#This Row],[Anzahl Studierende ]]</f>
        <v>0</v>
      </c>
      <c r="O24">
        <f>IF(Tabelle29[[#This Row],[Verkehrsmittel]]="Flug", IF(AND(Tabelle29[[#This Row],[Entfernung (km) einfach]]&gt;500,Tabelle29[[#This Row],[Entfernung (km) einfach]]&lt;1000),Tabelle29[[#This Row],[Entfernung (km) gesamt]], 0), 0)*Tabelle29[[#This Row],[Anzahl Studierende ]]</f>
        <v>0</v>
      </c>
      <c r="P24">
        <f>IF(Tabelle29[[#This Row],[Verkehrsmittel]]="Flug", IF(AND(Tabelle29[[#This Row],[Entfernung (km) einfach]]&gt;1000,Tabelle29[[#This Row],[Entfernung (km) einfach]]&lt;2000),Tabelle29[[#This Row],[Entfernung (km) gesamt]], 0), 0)*Tabelle29[[#This Row],[Anzahl Studierende ]]</f>
        <v>0</v>
      </c>
      <c r="Q24">
        <f>IF(Tabelle29[[#This Row],[Verkehrsmittel]]="Flug", IF(AND(Tabelle29[[#This Row],[Entfernung (km) einfach]]&gt;2000,Tabelle29[[#This Row],[Entfernung (km) einfach]]&lt;5000),Tabelle29[[#This Row],[Entfernung (km) gesamt]], 0), 0)*Tabelle29[[#This Row],[Anzahl Studierende ]]</f>
        <v>0</v>
      </c>
      <c r="R24">
        <f>IF(Tabelle29[[#This Row],[Verkehrsmittel]]="Flug", IF(AND(Tabelle29[[#This Row],[Entfernung (km) einfach]]&gt;5000,Tabelle29[[#This Row],[Entfernung (km) einfach]]&lt;10000),Tabelle29[[#This Row],[Entfernung (km) gesamt]], 0), 0)*Tabelle29[[#This Row],[Anzahl Studierende ]]</f>
        <v>0</v>
      </c>
      <c r="S24">
        <f>IF(Tabelle29[[#This Row],[Verkehrsmittel]]="Flug", IF(AND(Tabelle29[[#This Row],[Entfernung (km) einfach]]&gt;10000),Tabelle29[[#This Row],[Entfernung (km) gesamt]]), 0)*Tabelle29[[#This Row],[Anzahl Studierende ]]</f>
        <v>0</v>
      </c>
      <c r="T24">
        <f>IF(Tabelle29[[#This Row],[Verkehrsmittel]]="Motorrad",Tabelle29[[#This Row],[Entfernung (km) gesamt]],0)*Tabelle29[[#This Row],[Anzahl Studierende ]]</f>
        <v>0</v>
      </c>
      <c r="U24">
        <f>IF(Tabelle29[[#This Row],[Verkehrsmittel]]="Straßen-, S-, U-Bahn",Tabelle29[[#This Row],[Entfernung (km) gesamt]],0)*Tabelle29[[#This Row],[Anzahl Studierende ]]</f>
        <v>0</v>
      </c>
      <c r="V24">
        <f>IF(Tabelle29[[#This Row],[Verkehrsmittel]]="Fahrrad",Tabelle29[[#This Row],[Entfernung (km) gesamt]],0)*Tabelle29[[#This Row],[Anzahl Studierende ]]</f>
        <v>0</v>
      </c>
    </row>
    <row r="25" spans="2:22">
      <c r="B25" s="138"/>
      <c r="C25" s="139"/>
      <c r="D25" s="160"/>
      <c r="E25" s="111"/>
      <c r="F25" s="111"/>
      <c r="G25" s="111"/>
      <c r="H25" s="111">
        <f>Tabelle29[[#This Row],[Entfernung (km) einfach]]*2</f>
        <v>0</v>
      </c>
      <c r="I25" s="111"/>
      <c r="J25" s="140"/>
      <c r="K25">
        <f>IF(Tabelle29[[#This Row],[Verkehrsmittel]]="Bus",Tabelle29[[#This Row],[Entfernung (km) gesamt]],0)*Tabelle29[[#This Row],[Anzahl Studierende ]]</f>
        <v>0</v>
      </c>
      <c r="L25">
        <f>IF(Tabelle29[[#This Row],[Verkehrsmittel]]="Bahn",Tabelle29[[#This Row],[Anzahl Studierende ]]*Tabelle29[[#This Row],[Entfernung (km) gesamt]],0)</f>
        <v>0</v>
      </c>
      <c r="M25">
        <f>IF(Tabelle29[[#This Row],[Verkehrsmittel]]="PKW",Tabelle29[[#This Row],[Anzahl Studierende ]]*Tabelle29[[#This Row],[Entfernung (km) gesamt]],0)</f>
        <v>0</v>
      </c>
      <c r="N25">
        <f>IF(Tabelle29[[#This Row],[Verkehrsmittel]]="Flug", IF(AND(Tabelle29[[#This Row],[Entfernung (km) einfach]]&lt;500),Tabelle29[[#This Row],[Entfernung (km) gesamt]]), 0)*Tabelle29[[#This Row],[Anzahl Studierende ]]</f>
        <v>0</v>
      </c>
      <c r="O25">
        <f>IF(Tabelle29[[#This Row],[Verkehrsmittel]]="Flug", IF(AND(Tabelle29[[#This Row],[Entfernung (km) einfach]]&gt;500,Tabelle29[[#This Row],[Entfernung (km) einfach]]&lt;1000),Tabelle29[[#This Row],[Entfernung (km) gesamt]], 0), 0)*Tabelle29[[#This Row],[Anzahl Studierende ]]</f>
        <v>0</v>
      </c>
      <c r="P25">
        <f>IF(Tabelle29[[#This Row],[Verkehrsmittel]]="Flug", IF(AND(Tabelle29[[#This Row],[Entfernung (km) einfach]]&gt;1000,Tabelle29[[#This Row],[Entfernung (km) einfach]]&lt;2000),Tabelle29[[#This Row],[Entfernung (km) gesamt]], 0), 0)*Tabelle29[[#This Row],[Anzahl Studierende ]]</f>
        <v>0</v>
      </c>
      <c r="Q25">
        <f>IF(Tabelle29[[#This Row],[Verkehrsmittel]]="Flug", IF(AND(Tabelle29[[#This Row],[Entfernung (km) einfach]]&gt;2000,Tabelle29[[#This Row],[Entfernung (km) einfach]]&lt;5000),Tabelle29[[#This Row],[Entfernung (km) gesamt]], 0), 0)*Tabelle29[[#This Row],[Anzahl Studierende ]]</f>
        <v>0</v>
      </c>
      <c r="R25">
        <f>IF(Tabelle29[[#This Row],[Verkehrsmittel]]="Flug", IF(AND(Tabelle29[[#This Row],[Entfernung (km) einfach]]&gt;5000,Tabelle29[[#This Row],[Entfernung (km) einfach]]&lt;10000),Tabelle29[[#This Row],[Entfernung (km) gesamt]], 0), 0)*Tabelle29[[#This Row],[Anzahl Studierende ]]</f>
        <v>0</v>
      </c>
      <c r="S25">
        <f>IF(Tabelle29[[#This Row],[Verkehrsmittel]]="Flug", IF(AND(Tabelle29[[#This Row],[Entfernung (km) einfach]]&gt;10000),Tabelle29[[#This Row],[Entfernung (km) gesamt]]), 0)*Tabelle29[[#This Row],[Anzahl Studierende ]]</f>
        <v>0</v>
      </c>
      <c r="T25">
        <f>IF(Tabelle29[[#This Row],[Verkehrsmittel]]="Motorrad",Tabelle29[[#This Row],[Entfernung (km) gesamt]],0)*Tabelle29[[#This Row],[Anzahl Studierende ]]</f>
        <v>0</v>
      </c>
      <c r="U25">
        <f>IF(Tabelle29[[#This Row],[Verkehrsmittel]]="Straßen-, S-, U-Bahn",Tabelle29[[#This Row],[Entfernung (km) gesamt]],0)*Tabelle29[[#This Row],[Anzahl Studierende ]]</f>
        <v>0</v>
      </c>
      <c r="V25">
        <f>IF(Tabelle29[[#This Row],[Verkehrsmittel]]="Fahrrad",Tabelle29[[#This Row],[Entfernung (km) gesamt]],0)*Tabelle29[[#This Row],[Anzahl Studierende ]]</f>
        <v>0</v>
      </c>
    </row>
    <row r="26" spans="2:22">
      <c r="B26" s="138"/>
      <c r="C26" s="139"/>
      <c r="D26" s="160"/>
      <c r="E26" s="111"/>
      <c r="F26" s="111"/>
      <c r="G26" s="111"/>
      <c r="H26" s="111">
        <f>Tabelle29[[#This Row],[Entfernung (km) einfach]]*2</f>
        <v>0</v>
      </c>
      <c r="I26" s="111"/>
      <c r="J26" s="140"/>
      <c r="K26">
        <f>IF(Tabelle29[[#This Row],[Verkehrsmittel]]="Bus",Tabelle29[[#This Row],[Entfernung (km) gesamt]],0)*Tabelle29[[#This Row],[Anzahl Studierende ]]</f>
        <v>0</v>
      </c>
      <c r="L26">
        <f>IF(Tabelle29[[#This Row],[Verkehrsmittel]]="Bahn",Tabelle29[[#This Row],[Anzahl Studierende ]]*Tabelle29[[#This Row],[Entfernung (km) gesamt]],0)</f>
        <v>0</v>
      </c>
      <c r="M26">
        <f>IF(Tabelle29[[#This Row],[Verkehrsmittel]]="PKW",Tabelle29[[#This Row],[Anzahl Studierende ]]*Tabelle29[[#This Row],[Entfernung (km) gesamt]],0)</f>
        <v>0</v>
      </c>
      <c r="N26">
        <f>IF(Tabelle29[[#This Row],[Verkehrsmittel]]="Flug", IF(AND(Tabelle29[[#This Row],[Entfernung (km) einfach]]&lt;500),Tabelle29[[#This Row],[Entfernung (km) gesamt]]), 0)*Tabelle29[[#This Row],[Anzahl Studierende ]]</f>
        <v>0</v>
      </c>
      <c r="O26">
        <f>IF(Tabelle29[[#This Row],[Verkehrsmittel]]="Flug", IF(AND(Tabelle29[[#This Row],[Entfernung (km) einfach]]&gt;500,Tabelle29[[#This Row],[Entfernung (km) einfach]]&lt;1000),Tabelle29[[#This Row],[Entfernung (km) gesamt]], 0), 0)*Tabelle29[[#This Row],[Anzahl Studierende ]]</f>
        <v>0</v>
      </c>
      <c r="P26">
        <f>IF(Tabelle29[[#This Row],[Verkehrsmittel]]="Flug", IF(AND(Tabelle29[[#This Row],[Entfernung (km) einfach]]&gt;1000,Tabelle29[[#This Row],[Entfernung (km) einfach]]&lt;2000),Tabelle29[[#This Row],[Entfernung (km) gesamt]], 0), 0)*Tabelle29[[#This Row],[Anzahl Studierende ]]</f>
        <v>0</v>
      </c>
      <c r="Q26">
        <f>IF(Tabelle29[[#This Row],[Verkehrsmittel]]="Flug", IF(AND(Tabelle29[[#This Row],[Entfernung (km) einfach]]&gt;2000,Tabelle29[[#This Row],[Entfernung (km) einfach]]&lt;5000),Tabelle29[[#This Row],[Entfernung (km) gesamt]], 0), 0)*Tabelle29[[#This Row],[Anzahl Studierende ]]</f>
        <v>0</v>
      </c>
      <c r="R26">
        <f>IF(Tabelle29[[#This Row],[Verkehrsmittel]]="Flug", IF(AND(Tabelle29[[#This Row],[Entfernung (km) einfach]]&gt;5000,Tabelle29[[#This Row],[Entfernung (km) einfach]]&lt;10000),Tabelle29[[#This Row],[Entfernung (km) gesamt]], 0), 0)*Tabelle29[[#This Row],[Anzahl Studierende ]]</f>
        <v>0</v>
      </c>
      <c r="S26">
        <f>IF(Tabelle29[[#This Row],[Verkehrsmittel]]="Flug", IF(AND(Tabelle29[[#This Row],[Entfernung (km) einfach]]&gt;10000),Tabelle29[[#This Row],[Entfernung (km) gesamt]]), 0)*Tabelle29[[#This Row],[Anzahl Studierende ]]</f>
        <v>0</v>
      </c>
      <c r="T26">
        <f>IF(Tabelle29[[#This Row],[Verkehrsmittel]]="Motorrad",Tabelle29[[#This Row],[Entfernung (km) gesamt]],0)*Tabelle29[[#This Row],[Anzahl Studierende ]]</f>
        <v>0</v>
      </c>
      <c r="U26">
        <f>IF(Tabelle29[[#This Row],[Verkehrsmittel]]="Straßen-, S-, U-Bahn",Tabelle29[[#This Row],[Entfernung (km) gesamt]],0)*Tabelle29[[#This Row],[Anzahl Studierende ]]</f>
        <v>0</v>
      </c>
      <c r="V26">
        <f>IF(Tabelle29[[#This Row],[Verkehrsmittel]]="Fahrrad",Tabelle29[[#This Row],[Entfernung (km) gesamt]],0)*Tabelle29[[#This Row],[Anzahl Studierende ]]</f>
        <v>0</v>
      </c>
    </row>
    <row r="27" spans="2:22">
      <c r="B27" s="138"/>
      <c r="C27" s="139"/>
      <c r="D27" s="160"/>
      <c r="E27" s="111"/>
      <c r="F27" s="111"/>
      <c r="G27" s="111"/>
      <c r="H27" s="111">
        <f>Tabelle29[[#This Row],[Entfernung (km) einfach]]*2</f>
        <v>0</v>
      </c>
      <c r="I27" s="111"/>
      <c r="J27" s="140"/>
      <c r="K27">
        <f>IF(Tabelle29[[#This Row],[Verkehrsmittel]]="Bus",Tabelle29[[#This Row],[Entfernung (km) gesamt]],0)*Tabelle29[[#This Row],[Anzahl Studierende ]]</f>
        <v>0</v>
      </c>
      <c r="L27">
        <f>IF(Tabelle29[[#This Row],[Verkehrsmittel]]="Bahn",Tabelle29[[#This Row],[Anzahl Studierende ]]*Tabelle29[[#This Row],[Entfernung (km) gesamt]],0)</f>
        <v>0</v>
      </c>
      <c r="M27">
        <f>IF(Tabelle29[[#This Row],[Verkehrsmittel]]="PKW",Tabelle29[[#This Row],[Anzahl Studierende ]]*Tabelle29[[#This Row],[Entfernung (km) gesamt]],0)</f>
        <v>0</v>
      </c>
      <c r="N27">
        <f>IF(Tabelle29[[#This Row],[Verkehrsmittel]]="Flug", IF(AND(Tabelle29[[#This Row],[Entfernung (km) einfach]]&lt;500),Tabelle29[[#This Row],[Entfernung (km) gesamt]]), 0)*Tabelle29[[#This Row],[Anzahl Studierende ]]</f>
        <v>0</v>
      </c>
      <c r="O27">
        <f>IF(Tabelle29[[#This Row],[Verkehrsmittel]]="Flug", IF(AND(Tabelle29[[#This Row],[Entfernung (km) einfach]]&gt;500,Tabelle29[[#This Row],[Entfernung (km) einfach]]&lt;1000),Tabelle29[[#This Row],[Entfernung (km) gesamt]], 0), 0)*Tabelle29[[#This Row],[Anzahl Studierende ]]</f>
        <v>0</v>
      </c>
      <c r="P27">
        <f>IF(Tabelle29[[#This Row],[Verkehrsmittel]]="Flug", IF(AND(Tabelle29[[#This Row],[Entfernung (km) einfach]]&gt;1000,Tabelle29[[#This Row],[Entfernung (km) einfach]]&lt;2000),Tabelle29[[#This Row],[Entfernung (km) gesamt]], 0), 0)*Tabelle29[[#This Row],[Anzahl Studierende ]]</f>
        <v>0</v>
      </c>
      <c r="Q27">
        <f>IF(Tabelle29[[#This Row],[Verkehrsmittel]]="Flug", IF(AND(Tabelle29[[#This Row],[Entfernung (km) einfach]]&gt;2000,Tabelle29[[#This Row],[Entfernung (km) einfach]]&lt;5000),Tabelle29[[#This Row],[Entfernung (km) gesamt]], 0), 0)*Tabelle29[[#This Row],[Anzahl Studierende ]]</f>
        <v>0</v>
      </c>
      <c r="R27">
        <f>IF(Tabelle29[[#This Row],[Verkehrsmittel]]="Flug", IF(AND(Tabelle29[[#This Row],[Entfernung (km) einfach]]&gt;5000,Tabelle29[[#This Row],[Entfernung (km) einfach]]&lt;10000),Tabelle29[[#This Row],[Entfernung (km) gesamt]], 0), 0)*Tabelle29[[#This Row],[Anzahl Studierende ]]</f>
        <v>0</v>
      </c>
      <c r="S27">
        <f>IF(Tabelle29[[#This Row],[Verkehrsmittel]]="Flug", IF(AND(Tabelle29[[#This Row],[Entfernung (km) einfach]]&gt;10000),Tabelle29[[#This Row],[Entfernung (km) gesamt]]), 0)*Tabelle29[[#This Row],[Anzahl Studierende ]]</f>
        <v>0</v>
      </c>
      <c r="T27">
        <f>IF(Tabelle29[[#This Row],[Verkehrsmittel]]="Motorrad",Tabelle29[[#This Row],[Entfernung (km) gesamt]],0)*Tabelle29[[#This Row],[Anzahl Studierende ]]</f>
        <v>0</v>
      </c>
      <c r="U27">
        <f>IF(Tabelle29[[#This Row],[Verkehrsmittel]]="Straßen-, S-, U-Bahn",Tabelle29[[#This Row],[Entfernung (km) gesamt]],0)*Tabelle29[[#This Row],[Anzahl Studierende ]]</f>
        <v>0</v>
      </c>
      <c r="V27">
        <f>IF(Tabelle29[[#This Row],[Verkehrsmittel]]="Fahrrad",Tabelle29[[#This Row],[Entfernung (km) gesamt]],0)*Tabelle29[[#This Row],[Anzahl Studierende ]]</f>
        <v>0</v>
      </c>
    </row>
    <row r="28" spans="2:22">
      <c r="B28" s="138"/>
      <c r="C28" s="139"/>
      <c r="D28" s="160"/>
      <c r="E28" s="111"/>
      <c r="F28" s="111"/>
      <c r="G28" s="111"/>
      <c r="H28" s="111">
        <f>Tabelle29[[#This Row],[Entfernung (km) einfach]]*2</f>
        <v>0</v>
      </c>
      <c r="I28" s="111"/>
      <c r="J28" s="140"/>
      <c r="K28" s="36">
        <f>IF(Tabelle29[[#This Row],[Verkehrsmittel]]="Bus",Tabelle29[[#This Row],[Entfernung (km) gesamt]],0)*Tabelle29[[#This Row],[Anzahl Studierende ]]</f>
        <v>0</v>
      </c>
      <c r="L28" s="36">
        <f>IF(Tabelle29[[#This Row],[Verkehrsmittel]]="Bahn",Tabelle29[[#This Row],[Anzahl Studierende ]]*Tabelle29[[#This Row],[Entfernung (km) gesamt]],0)</f>
        <v>0</v>
      </c>
      <c r="M28" s="36">
        <f>IF(Tabelle29[[#This Row],[Verkehrsmittel]]="PKW",Tabelle29[[#This Row],[Anzahl Studierende ]]*Tabelle29[[#This Row],[Entfernung (km) gesamt]],0)</f>
        <v>0</v>
      </c>
      <c r="N28" s="36">
        <f>IF(Tabelle29[[#This Row],[Verkehrsmittel]]="Flug", IF(AND(Tabelle29[[#This Row],[Entfernung (km) einfach]]&lt;500),Tabelle29[[#This Row],[Entfernung (km) gesamt]]), 0)*Tabelle29[[#This Row],[Anzahl Studierende ]]</f>
        <v>0</v>
      </c>
      <c r="O28" s="36">
        <f>IF(Tabelle29[[#This Row],[Verkehrsmittel]]="Flug", IF(AND(Tabelle29[[#This Row],[Entfernung (km) einfach]]&gt;500,Tabelle29[[#This Row],[Entfernung (km) einfach]]&lt;1000),Tabelle29[[#This Row],[Entfernung (km) gesamt]], 0), 0)*Tabelle29[[#This Row],[Anzahl Studierende ]]</f>
        <v>0</v>
      </c>
      <c r="P28" s="36">
        <f>IF(Tabelle29[[#This Row],[Verkehrsmittel]]="Flug", IF(AND(Tabelle29[[#This Row],[Entfernung (km) einfach]]&gt;1000,Tabelle29[[#This Row],[Entfernung (km) einfach]]&lt;2000),Tabelle29[[#This Row],[Entfernung (km) gesamt]], 0), 0)*Tabelle29[[#This Row],[Anzahl Studierende ]]</f>
        <v>0</v>
      </c>
      <c r="Q28" s="36">
        <f>IF(Tabelle29[[#This Row],[Verkehrsmittel]]="Flug", IF(AND(Tabelle29[[#This Row],[Entfernung (km) einfach]]&gt;2000,Tabelle29[[#This Row],[Entfernung (km) einfach]]&lt;5000),Tabelle29[[#This Row],[Entfernung (km) gesamt]], 0), 0)*Tabelle29[[#This Row],[Anzahl Studierende ]]</f>
        <v>0</v>
      </c>
      <c r="R28" s="36">
        <f>IF(Tabelle29[[#This Row],[Verkehrsmittel]]="Flug", IF(AND(Tabelle29[[#This Row],[Entfernung (km) einfach]]&gt;5000,Tabelle29[[#This Row],[Entfernung (km) einfach]]&lt;10000),Tabelle29[[#This Row],[Entfernung (km) gesamt]], 0), 0)*Tabelle29[[#This Row],[Anzahl Studierende ]]</f>
        <v>0</v>
      </c>
      <c r="S28" s="36">
        <f>IF(Tabelle29[[#This Row],[Verkehrsmittel]]="Flug", IF(AND(Tabelle29[[#This Row],[Entfernung (km) einfach]]&gt;10000),Tabelle29[[#This Row],[Entfernung (km) gesamt]]), 0)*Tabelle29[[#This Row],[Anzahl Studierende ]]</f>
        <v>0</v>
      </c>
      <c r="T28" s="36">
        <f>IF(Tabelle29[[#This Row],[Verkehrsmittel]]="Motorrad",Tabelle29[[#This Row],[Entfernung (km) gesamt]],0)*Tabelle29[[#This Row],[Anzahl Studierende ]]</f>
        <v>0</v>
      </c>
      <c r="U28" s="36">
        <f>IF(Tabelle29[[#This Row],[Verkehrsmittel]]="Straßen-, S-, U-Bahn",Tabelle29[[#This Row],[Entfernung (km) gesamt]],0)*Tabelle29[[#This Row],[Anzahl Studierende ]]</f>
        <v>0</v>
      </c>
      <c r="V28" s="36">
        <f>IF(Tabelle29[[#This Row],[Verkehrsmittel]]="Fahrrad",Tabelle29[[#This Row],[Entfernung (km) gesamt]],0)*Tabelle29[[#This Row],[Anzahl Studierende ]]</f>
        <v>0</v>
      </c>
    </row>
    <row r="29" spans="2:22">
      <c r="B29" s="138"/>
      <c r="C29" s="139"/>
      <c r="D29" s="160"/>
      <c r="E29" s="111"/>
      <c r="F29" s="111"/>
      <c r="G29" s="111"/>
      <c r="H29" s="111">
        <f>Tabelle29[[#This Row],[Entfernung (km) einfach]]*2</f>
        <v>0</v>
      </c>
      <c r="I29" s="111"/>
      <c r="J29" s="140"/>
      <c r="K29" s="36">
        <f>IF(Tabelle29[[#This Row],[Verkehrsmittel]]="Bus",Tabelle29[[#This Row],[Entfernung (km) gesamt]],0)*Tabelle29[[#This Row],[Anzahl Studierende ]]</f>
        <v>0</v>
      </c>
      <c r="L29" s="36">
        <f>IF(Tabelle29[[#This Row],[Verkehrsmittel]]="Bahn",Tabelle29[[#This Row],[Anzahl Studierende ]]*Tabelle29[[#This Row],[Entfernung (km) gesamt]],0)</f>
        <v>0</v>
      </c>
      <c r="M29" s="36">
        <f>IF(Tabelle29[[#This Row],[Verkehrsmittel]]="PKW",Tabelle29[[#This Row],[Anzahl Studierende ]]*Tabelle29[[#This Row],[Entfernung (km) gesamt]],0)</f>
        <v>0</v>
      </c>
      <c r="N29" s="36">
        <f>IF(Tabelle29[[#This Row],[Verkehrsmittel]]="Flug", IF(AND(Tabelle29[[#This Row],[Entfernung (km) einfach]]&lt;500),Tabelle29[[#This Row],[Entfernung (km) gesamt]]), 0)*Tabelle29[[#This Row],[Anzahl Studierende ]]</f>
        <v>0</v>
      </c>
      <c r="O29" s="36">
        <f>IF(Tabelle29[[#This Row],[Verkehrsmittel]]="Flug", IF(AND(Tabelle29[[#This Row],[Entfernung (km) einfach]]&gt;500,Tabelle29[[#This Row],[Entfernung (km) einfach]]&lt;1000),Tabelle29[[#This Row],[Entfernung (km) gesamt]], 0), 0)*Tabelle29[[#This Row],[Anzahl Studierende ]]</f>
        <v>0</v>
      </c>
      <c r="P29" s="36">
        <f>IF(Tabelle29[[#This Row],[Verkehrsmittel]]="Flug", IF(AND(Tabelle29[[#This Row],[Entfernung (km) einfach]]&gt;1000,Tabelle29[[#This Row],[Entfernung (km) einfach]]&lt;2000),Tabelle29[[#This Row],[Entfernung (km) gesamt]], 0), 0)*Tabelle29[[#This Row],[Anzahl Studierende ]]</f>
        <v>0</v>
      </c>
      <c r="Q29" s="36">
        <f>IF(Tabelle29[[#This Row],[Verkehrsmittel]]="Flug", IF(AND(Tabelle29[[#This Row],[Entfernung (km) einfach]]&gt;2000,Tabelle29[[#This Row],[Entfernung (km) einfach]]&lt;5000),Tabelle29[[#This Row],[Entfernung (km) gesamt]], 0), 0)*Tabelle29[[#This Row],[Anzahl Studierende ]]</f>
        <v>0</v>
      </c>
      <c r="R29" s="36">
        <f>IF(Tabelle29[[#This Row],[Verkehrsmittel]]="Flug", IF(AND(Tabelle29[[#This Row],[Entfernung (km) einfach]]&gt;5000,Tabelle29[[#This Row],[Entfernung (km) einfach]]&lt;10000),Tabelle29[[#This Row],[Entfernung (km) gesamt]], 0), 0)*Tabelle29[[#This Row],[Anzahl Studierende ]]</f>
        <v>0</v>
      </c>
      <c r="S29" s="36">
        <f>IF(Tabelle29[[#This Row],[Verkehrsmittel]]="Flug", IF(AND(Tabelle29[[#This Row],[Entfernung (km) einfach]]&gt;10000),Tabelle29[[#This Row],[Entfernung (km) gesamt]]), 0)*Tabelle29[[#This Row],[Anzahl Studierende ]]</f>
        <v>0</v>
      </c>
      <c r="T29" s="36">
        <f>IF(Tabelle29[[#This Row],[Verkehrsmittel]]="Motorrad",Tabelle29[[#This Row],[Entfernung (km) gesamt]],0)*Tabelle29[[#This Row],[Anzahl Studierende ]]</f>
        <v>0</v>
      </c>
      <c r="U29" s="36">
        <f>IF(Tabelle29[[#This Row],[Verkehrsmittel]]="Straßen-, S-, U-Bahn",Tabelle29[[#This Row],[Entfernung (km) gesamt]],0)*Tabelle29[[#This Row],[Anzahl Studierende ]]</f>
        <v>0</v>
      </c>
      <c r="V29" s="36">
        <f>IF(Tabelle29[[#This Row],[Verkehrsmittel]]="Fahrrad",Tabelle29[[#This Row],[Entfernung (km) gesamt]],0)*Tabelle29[[#This Row],[Anzahl Studierende ]]</f>
        <v>0</v>
      </c>
    </row>
    <row r="30" spans="2:22">
      <c r="B30" s="138"/>
      <c r="C30" s="139"/>
      <c r="D30" s="160"/>
      <c r="E30" s="111"/>
      <c r="F30" s="111"/>
      <c r="G30" s="111"/>
      <c r="H30" s="111">
        <f>Tabelle29[[#This Row],[Entfernung (km) einfach]]*2</f>
        <v>0</v>
      </c>
      <c r="I30" s="111"/>
      <c r="J30" s="140"/>
      <c r="K30" s="36">
        <f>IF(Tabelle29[[#This Row],[Verkehrsmittel]]="Bus",Tabelle29[[#This Row],[Entfernung (km) gesamt]],0)*Tabelle29[[#This Row],[Anzahl Studierende ]]</f>
        <v>0</v>
      </c>
      <c r="L30" s="36">
        <f>IF(Tabelle29[[#This Row],[Verkehrsmittel]]="Bahn",Tabelle29[[#This Row],[Anzahl Studierende ]]*Tabelle29[[#This Row],[Entfernung (km) gesamt]],0)</f>
        <v>0</v>
      </c>
      <c r="M30" s="36">
        <f>IF(Tabelle29[[#This Row],[Verkehrsmittel]]="PKW",Tabelle29[[#This Row],[Anzahl Studierende ]]*Tabelle29[[#This Row],[Entfernung (km) gesamt]],0)</f>
        <v>0</v>
      </c>
      <c r="N30" s="36">
        <f>IF(Tabelle29[[#This Row],[Verkehrsmittel]]="Flug", IF(AND(Tabelle29[[#This Row],[Entfernung (km) einfach]]&lt;500),Tabelle29[[#This Row],[Entfernung (km) gesamt]]), 0)*Tabelle29[[#This Row],[Anzahl Studierende ]]</f>
        <v>0</v>
      </c>
      <c r="O30" s="36">
        <f>IF(Tabelle29[[#This Row],[Verkehrsmittel]]="Flug", IF(AND(Tabelle29[[#This Row],[Entfernung (km) einfach]]&gt;500,Tabelle29[[#This Row],[Entfernung (km) einfach]]&lt;1000),Tabelle29[[#This Row],[Entfernung (km) gesamt]], 0), 0)*Tabelle29[[#This Row],[Anzahl Studierende ]]</f>
        <v>0</v>
      </c>
      <c r="P30" s="36">
        <f>IF(Tabelle29[[#This Row],[Verkehrsmittel]]="Flug", IF(AND(Tabelle29[[#This Row],[Entfernung (km) einfach]]&gt;1000,Tabelle29[[#This Row],[Entfernung (km) einfach]]&lt;2000),Tabelle29[[#This Row],[Entfernung (km) gesamt]], 0), 0)*Tabelle29[[#This Row],[Anzahl Studierende ]]</f>
        <v>0</v>
      </c>
      <c r="Q30" s="36">
        <f>IF(Tabelle29[[#This Row],[Verkehrsmittel]]="Flug", IF(AND(Tabelle29[[#This Row],[Entfernung (km) einfach]]&gt;2000,Tabelle29[[#This Row],[Entfernung (km) einfach]]&lt;5000),Tabelle29[[#This Row],[Entfernung (km) gesamt]], 0), 0)*Tabelle29[[#This Row],[Anzahl Studierende ]]</f>
        <v>0</v>
      </c>
      <c r="R30" s="36">
        <f>IF(Tabelle29[[#This Row],[Verkehrsmittel]]="Flug", IF(AND(Tabelle29[[#This Row],[Entfernung (km) einfach]]&gt;5000,Tabelle29[[#This Row],[Entfernung (km) einfach]]&lt;10000),Tabelle29[[#This Row],[Entfernung (km) gesamt]], 0), 0)*Tabelle29[[#This Row],[Anzahl Studierende ]]</f>
        <v>0</v>
      </c>
      <c r="S30" s="36">
        <f>IF(Tabelle29[[#This Row],[Verkehrsmittel]]="Flug", IF(AND(Tabelle29[[#This Row],[Entfernung (km) einfach]]&gt;10000),Tabelle29[[#This Row],[Entfernung (km) gesamt]]), 0)*Tabelle29[[#This Row],[Anzahl Studierende ]]</f>
        <v>0</v>
      </c>
      <c r="T30" s="36">
        <f>IF(Tabelle29[[#This Row],[Verkehrsmittel]]="Motorrad",Tabelle29[[#This Row],[Entfernung (km) gesamt]],0)*Tabelle29[[#This Row],[Anzahl Studierende ]]</f>
        <v>0</v>
      </c>
      <c r="U30" s="36">
        <f>IF(Tabelle29[[#This Row],[Verkehrsmittel]]="Straßen-, S-, U-Bahn",Tabelle29[[#This Row],[Entfernung (km) gesamt]],0)*Tabelle29[[#This Row],[Anzahl Studierende ]]</f>
        <v>0</v>
      </c>
      <c r="V30" s="36">
        <f>IF(Tabelle29[[#This Row],[Verkehrsmittel]]="Fahrrad",Tabelle29[[#This Row],[Entfernung (km) gesamt]],0)*Tabelle29[[#This Row],[Anzahl Studierende ]]</f>
        <v>0</v>
      </c>
    </row>
    <row r="31" spans="2:22">
      <c r="B31" s="138"/>
      <c r="C31" s="139"/>
      <c r="D31" s="160"/>
      <c r="E31" s="111"/>
      <c r="F31" s="111"/>
      <c r="G31" s="111"/>
      <c r="H31" s="111">
        <f>Tabelle29[[#This Row],[Entfernung (km) einfach]]*2</f>
        <v>0</v>
      </c>
      <c r="I31" s="111"/>
      <c r="J31" s="140"/>
      <c r="K31" s="36">
        <f>IF(Tabelle29[[#This Row],[Verkehrsmittel]]="Bus",Tabelle29[[#This Row],[Entfernung (km) gesamt]],0)*Tabelle29[[#This Row],[Anzahl Studierende ]]</f>
        <v>0</v>
      </c>
      <c r="L31" s="36">
        <f>IF(Tabelle29[[#This Row],[Verkehrsmittel]]="Bahn",Tabelle29[[#This Row],[Anzahl Studierende ]]*Tabelle29[[#This Row],[Entfernung (km) gesamt]],0)</f>
        <v>0</v>
      </c>
      <c r="M31" s="36">
        <f>IF(Tabelle29[[#This Row],[Verkehrsmittel]]="PKW",Tabelle29[[#This Row],[Anzahl Studierende ]]*Tabelle29[[#This Row],[Entfernung (km) gesamt]],0)</f>
        <v>0</v>
      </c>
      <c r="N31" s="36">
        <f>IF(Tabelle29[[#This Row],[Verkehrsmittel]]="Flug", IF(AND(Tabelle29[[#This Row],[Entfernung (km) einfach]]&lt;500),Tabelle29[[#This Row],[Entfernung (km) gesamt]]), 0)*Tabelle29[[#This Row],[Anzahl Studierende ]]</f>
        <v>0</v>
      </c>
      <c r="O31" s="36">
        <f>IF(Tabelle29[[#This Row],[Verkehrsmittel]]="Flug", IF(AND(Tabelle29[[#This Row],[Entfernung (km) einfach]]&gt;500,Tabelle29[[#This Row],[Entfernung (km) einfach]]&lt;1000),Tabelle29[[#This Row],[Entfernung (km) gesamt]], 0), 0)*Tabelle29[[#This Row],[Anzahl Studierende ]]</f>
        <v>0</v>
      </c>
      <c r="P31" s="36">
        <f>IF(Tabelle29[[#This Row],[Verkehrsmittel]]="Flug", IF(AND(Tabelle29[[#This Row],[Entfernung (km) einfach]]&gt;1000,Tabelle29[[#This Row],[Entfernung (km) einfach]]&lt;2000),Tabelle29[[#This Row],[Entfernung (km) gesamt]], 0), 0)*Tabelle29[[#This Row],[Anzahl Studierende ]]</f>
        <v>0</v>
      </c>
      <c r="Q31" s="36">
        <f>IF(Tabelle29[[#This Row],[Verkehrsmittel]]="Flug", IF(AND(Tabelle29[[#This Row],[Entfernung (km) einfach]]&gt;2000,Tabelle29[[#This Row],[Entfernung (km) einfach]]&lt;5000),Tabelle29[[#This Row],[Entfernung (km) gesamt]], 0), 0)*Tabelle29[[#This Row],[Anzahl Studierende ]]</f>
        <v>0</v>
      </c>
      <c r="R31" s="36">
        <f>IF(Tabelle29[[#This Row],[Verkehrsmittel]]="Flug", IF(AND(Tabelle29[[#This Row],[Entfernung (km) einfach]]&gt;5000,Tabelle29[[#This Row],[Entfernung (km) einfach]]&lt;10000),Tabelle29[[#This Row],[Entfernung (km) gesamt]], 0), 0)*Tabelle29[[#This Row],[Anzahl Studierende ]]</f>
        <v>0</v>
      </c>
      <c r="S31" s="36">
        <f>IF(Tabelle29[[#This Row],[Verkehrsmittel]]="Flug", IF(AND(Tabelle29[[#This Row],[Entfernung (km) einfach]]&gt;10000),Tabelle29[[#This Row],[Entfernung (km) gesamt]]), 0)*Tabelle29[[#This Row],[Anzahl Studierende ]]</f>
        <v>0</v>
      </c>
      <c r="T31" s="36">
        <f>IF(Tabelle29[[#This Row],[Verkehrsmittel]]="Motorrad",Tabelle29[[#This Row],[Entfernung (km) gesamt]],0)*Tabelle29[[#This Row],[Anzahl Studierende ]]</f>
        <v>0</v>
      </c>
      <c r="U31" s="36">
        <f>IF(Tabelle29[[#This Row],[Verkehrsmittel]]="Straßen-, S-, U-Bahn",Tabelle29[[#This Row],[Entfernung (km) gesamt]],0)*Tabelle29[[#This Row],[Anzahl Studierende ]]</f>
        <v>0</v>
      </c>
      <c r="V31" s="36">
        <f>IF(Tabelle29[[#This Row],[Verkehrsmittel]]="Fahrrad",Tabelle29[[#This Row],[Entfernung (km) gesamt]],0)*Tabelle29[[#This Row],[Anzahl Studierende ]]</f>
        <v>0</v>
      </c>
    </row>
    <row r="32" spans="2:22">
      <c r="B32" s="138"/>
      <c r="C32" s="139"/>
      <c r="D32" s="160"/>
      <c r="E32" s="111"/>
      <c r="F32" s="111"/>
      <c r="G32" s="111"/>
      <c r="H32" s="117">
        <f>Tabelle29[[#This Row],[Entfernung (km) einfach]]*2</f>
        <v>0</v>
      </c>
      <c r="I32" s="111"/>
      <c r="J32" s="140"/>
      <c r="K32" s="36">
        <f>IF(Tabelle29[[#This Row],[Verkehrsmittel]]="Bus",Tabelle29[[#This Row],[Entfernung (km) gesamt]],0)*Tabelle29[[#This Row],[Anzahl Studierende ]]</f>
        <v>0</v>
      </c>
      <c r="L32" s="36">
        <f>IF(Tabelle29[[#This Row],[Verkehrsmittel]]="Bahn",Tabelle29[[#This Row],[Anzahl Studierende ]]*Tabelle29[[#This Row],[Entfernung (km) gesamt]],0)</f>
        <v>0</v>
      </c>
      <c r="M32" s="36">
        <f>IF(Tabelle29[[#This Row],[Verkehrsmittel]]="PKW",Tabelle29[[#This Row],[Anzahl Studierende ]]*Tabelle29[[#This Row],[Entfernung (km) gesamt]],0)</f>
        <v>0</v>
      </c>
      <c r="N32" s="36">
        <f>IF(Tabelle29[[#This Row],[Verkehrsmittel]]="Flug", IF(AND(Tabelle29[[#This Row],[Entfernung (km) einfach]]&lt;500),Tabelle29[[#This Row],[Entfernung (km) gesamt]]), 0)*Tabelle29[[#This Row],[Anzahl Studierende ]]</f>
        <v>0</v>
      </c>
      <c r="O32" s="36">
        <f>IF(Tabelle29[[#This Row],[Verkehrsmittel]]="Flug", IF(AND(Tabelle29[[#This Row],[Entfernung (km) einfach]]&gt;500,Tabelle29[[#This Row],[Entfernung (km) einfach]]&lt;1000),Tabelle29[[#This Row],[Entfernung (km) gesamt]], 0), 0)*Tabelle29[[#This Row],[Anzahl Studierende ]]</f>
        <v>0</v>
      </c>
      <c r="P32" s="36">
        <f>IF(Tabelle29[[#This Row],[Verkehrsmittel]]="Flug", IF(AND(Tabelle29[[#This Row],[Entfernung (km) einfach]]&gt;1000,Tabelle29[[#This Row],[Entfernung (km) einfach]]&lt;2000),Tabelle29[[#This Row],[Entfernung (km) gesamt]], 0), 0)*Tabelle29[[#This Row],[Anzahl Studierende ]]</f>
        <v>0</v>
      </c>
      <c r="Q32" s="36">
        <f>IF(Tabelle29[[#This Row],[Verkehrsmittel]]="Flug", IF(AND(Tabelle29[[#This Row],[Entfernung (km) einfach]]&gt;2000,Tabelle29[[#This Row],[Entfernung (km) einfach]]&lt;5000),Tabelle29[[#This Row],[Entfernung (km) gesamt]], 0), 0)*Tabelle29[[#This Row],[Anzahl Studierende ]]</f>
        <v>0</v>
      </c>
      <c r="R32" s="36">
        <f>IF(Tabelle29[[#This Row],[Verkehrsmittel]]="Flug", IF(AND(Tabelle29[[#This Row],[Entfernung (km) einfach]]&gt;5000,Tabelle29[[#This Row],[Entfernung (km) einfach]]&lt;10000),Tabelle29[[#This Row],[Entfernung (km) gesamt]], 0), 0)*Tabelle29[[#This Row],[Anzahl Studierende ]]</f>
        <v>0</v>
      </c>
      <c r="S32" s="36">
        <f>IF(Tabelle29[[#This Row],[Verkehrsmittel]]="Flug", IF(AND(Tabelle29[[#This Row],[Entfernung (km) einfach]]&gt;10000),Tabelle29[[#This Row],[Entfernung (km) gesamt]]), 0)*Tabelle29[[#This Row],[Anzahl Studierende ]]</f>
        <v>0</v>
      </c>
      <c r="T32" s="36">
        <f>IF(Tabelle29[[#This Row],[Verkehrsmittel]]="Motorrad",Tabelle29[[#This Row],[Entfernung (km) gesamt]],0)*Tabelle29[[#This Row],[Anzahl Studierende ]]</f>
        <v>0</v>
      </c>
      <c r="U32" s="36">
        <f>IF(Tabelle29[[#This Row],[Verkehrsmittel]]="Straßen-, S-, U-Bahn",Tabelle29[[#This Row],[Entfernung (km) gesamt]],0)*Tabelle29[[#This Row],[Anzahl Studierende ]]</f>
        <v>0</v>
      </c>
      <c r="V32" s="36">
        <f>IF(Tabelle29[[#This Row],[Verkehrsmittel]]="Fahrrad",Tabelle29[[#This Row],[Entfernung (km) gesamt]],0)*Tabelle29[[#This Row],[Anzahl Studierende ]]</f>
        <v>0</v>
      </c>
    </row>
    <row r="33" spans="2:22">
      <c r="B33" s="138"/>
      <c r="C33" s="139"/>
      <c r="D33" s="160"/>
      <c r="E33" s="111"/>
      <c r="F33" s="111"/>
      <c r="G33" s="111"/>
      <c r="H33" s="117">
        <f>Tabelle29[[#This Row],[Entfernung (km) einfach]]*2</f>
        <v>0</v>
      </c>
      <c r="I33" s="111"/>
      <c r="J33" s="140"/>
      <c r="K33" s="36">
        <f>IF(Tabelle29[[#This Row],[Verkehrsmittel]]="Bus",Tabelle29[[#This Row],[Entfernung (km) gesamt]],0)*Tabelle29[[#This Row],[Anzahl Studierende ]]</f>
        <v>0</v>
      </c>
      <c r="L33" s="36">
        <f>IF(Tabelle29[[#This Row],[Verkehrsmittel]]="Bahn",Tabelle29[[#This Row],[Anzahl Studierende ]]*Tabelle29[[#This Row],[Entfernung (km) gesamt]],0)</f>
        <v>0</v>
      </c>
      <c r="M33" s="36">
        <f>IF(Tabelle29[[#This Row],[Verkehrsmittel]]="PKW",Tabelle29[[#This Row],[Anzahl Studierende ]]*Tabelle29[[#This Row],[Entfernung (km) gesamt]],0)</f>
        <v>0</v>
      </c>
      <c r="N33" s="36">
        <f>IF(Tabelle29[[#This Row],[Verkehrsmittel]]="Flug", IF(AND(Tabelle29[[#This Row],[Entfernung (km) einfach]]&lt;500),Tabelle29[[#This Row],[Entfernung (km) gesamt]]), 0)*Tabelle29[[#This Row],[Anzahl Studierende ]]</f>
        <v>0</v>
      </c>
      <c r="O33" s="36">
        <f>IF(Tabelle29[[#This Row],[Verkehrsmittel]]="Flug", IF(AND(Tabelle29[[#This Row],[Entfernung (km) einfach]]&gt;500,Tabelle29[[#This Row],[Entfernung (km) einfach]]&lt;1000),Tabelle29[[#This Row],[Entfernung (km) gesamt]], 0), 0)*Tabelle29[[#This Row],[Anzahl Studierende ]]</f>
        <v>0</v>
      </c>
      <c r="P33" s="36">
        <f>IF(Tabelle29[[#This Row],[Verkehrsmittel]]="Flug", IF(AND(Tabelle29[[#This Row],[Entfernung (km) einfach]]&gt;1000,Tabelle29[[#This Row],[Entfernung (km) einfach]]&lt;2000),Tabelle29[[#This Row],[Entfernung (km) gesamt]], 0), 0)*Tabelle29[[#This Row],[Anzahl Studierende ]]</f>
        <v>0</v>
      </c>
      <c r="Q33" s="36">
        <f>IF(Tabelle29[[#This Row],[Verkehrsmittel]]="Flug", IF(AND(Tabelle29[[#This Row],[Entfernung (km) einfach]]&gt;2000,Tabelle29[[#This Row],[Entfernung (km) einfach]]&lt;5000),Tabelle29[[#This Row],[Entfernung (km) gesamt]], 0), 0)*Tabelle29[[#This Row],[Anzahl Studierende ]]</f>
        <v>0</v>
      </c>
      <c r="R33" s="36">
        <f>IF(Tabelle29[[#This Row],[Verkehrsmittel]]="Flug", IF(AND(Tabelle29[[#This Row],[Entfernung (km) einfach]]&gt;5000,Tabelle29[[#This Row],[Entfernung (km) einfach]]&lt;10000),Tabelle29[[#This Row],[Entfernung (km) gesamt]], 0), 0)*Tabelle29[[#This Row],[Anzahl Studierende ]]</f>
        <v>0</v>
      </c>
      <c r="S33" s="36">
        <f>IF(Tabelle29[[#This Row],[Verkehrsmittel]]="Flug", IF(AND(Tabelle29[[#This Row],[Entfernung (km) einfach]]&gt;10000),Tabelle29[[#This Row],[Entfernung (km) gesamt]]), 0)*Tabelle29[[#This Row],[Anzahl Studierende ]]</f>
        <v>0</v>
      </c>
      <c r="T33" s="36">
        <f>IF(Tabelle29[[#This Row],[Verkehrsmittel]]="Motorrad",Tabelle29[[#This Row],[Entfernung (km) gesamt]],0)*Tabelle29[[#This Row],[Anzahl Studierende ]]</f>
        <v>0</v>
      </c>
      <c r="U33" s="36">
        <f>IF(Tabelle29[[#This Row],[Verkehrsmittel]]="Straßen-, S-, U-Bahn",Tabelle29[[#This Row],[Entfernung (km) gesamt]],0)*Tabelle29[[#This Row],[Anzahl Studierende ]]</f>
        <v>0</v>
      </c>
      <c r="V33" s="36">
        <f>IF(Tabelle29[[#This Row],[Verkehrsmittel]]="Fahrrad",Tabelle29[[#This Row],[Entfernung (km) gesamt]],0)*Tabelle29[[#This Row],[Anzahl Studierende ]]</f>
        <v>0</v>
      </c>
    </row>
    <row r="34" spans="2:22">
      <c r="B34" s="138"/>
      <c r="C34" s="139"/>
      <c r="D34" s="160"/>
      <c r="E34" s="111"/>
      <c r="F34" s="111"/>
      <c r="G34" s="111"/>
      <c r="H34" s="117">
        <f>Tabelle29[[#This Row],[Entfernung (km) einfach]]*2</f>
        <v>0</v>
      </c>
      <c r="I34" s="111"/>
      <c r="J34" s="140"/>
      <c r="K34" s="36">
        <f>IF(Tabelle29[[#This Row],[Verkehrsmittel]]="Bus",Tabelle29[[#This Row],[Entfernung (km) gesamt]],0)*Tabelle29[[#This Row],[Anzahl Studierende ]]</f>
        <v>0</v>
      </c>
      <c r="L34" s="36">
        <f>IF(Tabelle29[[#This Row],[Verkehrsmittel]]="Bahn",Tabelle29[[#This Row],[Anzahl Studierende ]]*Tabelle29[[#This Row],[Entfernung (km) gesamt]],0)</f>
        <v>0</v>
      </c>
      <c r="M34" s="36">
        <f>IF(Tabelle29[[#This Row],[Verkehrsmittel]]="PKW",Tabelle29[[#This Row],[Anzahl Studierende ]]*Tabelle29[[#This Row],[Entfernung (km) gesamt]],0)</f>
        <v>0</v>
      </c>
      <c r="N34" s="36">
        <f>IF(Tabelle29[[#This Row],[Verkehrsmittel]]="Flug", IF(AND(Tabelle29[[#This Row],[Entfernung (km) einfach]]&lt;500),Tabelle29[[#This Row],[Entfernung (km) gesamt]]), 0)*Tabelle29[[#This Row],[Anzahl Studierende ]]</f>
        <v>0</v>
      </c>
      <c r="O34" s="36">
        <f>IF(Tabelle29[[#This Row],[Verkehrsmittel]]="Flug", IF(AND(Tabelle29[[#This Row],[Entfernung (km) einfach]]&gt;500,Tabelle29[[#This Row],[Entfernung (km) einfach]]&lt;1000),Tabelle29[[#This Row],[Entfernung (km) gesamt]], 0), 0)*Tabelle29[[#This Row],[Anzahl Studierende ]]</f>
        <v>0</v>
      </c>
      <c r="P34" s="36">
        <f>IF(Tabelle29[[#This Row],[Verkehrsmittel]]="Flug", IF(AND(Tabelle29[[#This Row],[Entfernung (km) einfach]]&gt;1000,Tabelle29[[#This Row],[Entfernung (km) einfach]]&lt;2000),Tabelle29[[#This Row],[Entfernung (km) gesamt]], 0), 0)*Tabelle29[[#This Row],[Anzahl Studierende ]]</f>
        <v>0</v>
      </c>
      <c r="Q34" s="36">
        <f>IF(Tabelle29[[#This Row],[Verkehrsmittel]]="Flug", IF(AND(Tabelle29[[#This Row],[Entfernung (km) einfach]]&gt;2000,Tabelle29[[#This Row],[Entfernung (km) einfach]]&lt;5000),Tabelle29[[#This Row],[Entfernung (km) gesamt]], 0), 0)*Tabelle29[[#This Row],[Anzahl Studierende ]]</f>
        <v>0</v>
      </c>
      <c r="R34" s="36">
        <f>IF(Tabelle29[[#This Row],[Verkehrsmittel]]="Flug", IF(AND(Tabelle29[[#This Row],[Entfernung (km) einfach]]&gt;5000,Tabelle29[[#This Row],[Entfernung (km) einfach]]&lt;10000),Tabelle29[[#This Row],[Entfernung (km) gesamt]], 0), 0)*Tabelle29[[#This Row],[Anzahl Studierende ]]</f>
        <v>0</v>
      </c>
      <c r="S34" s="36">
        <f>IF(Tabelle29[[#This Row],[Verkehrsmittel]]="Flug", IF(AND(Tabelle29[[#This Row],[Entfernung (km) einfach]]&gt;10000),Tabelle29[[#This Row],[Entfernung (km) gesamt]]), 0)*Tabelle29[[#This Row],[Anzahl Studierende ]]</f>
        <v>0</v>
      </c>
      <c r="T34" s="36">
        <f>IF(Tabelle29[[#This Row],[Verkehrsmittel]]="Motorrad",Tabelle29[[#This Row],[Entfernung (km) gesamt]],0)*Tabelle29[[#This Row],[Anzahl Studierende ]]</f>
        <v>0</v>
      </c>
      <c r="U34" s="36">
        <f>IF(Tabelle29[[#This Row],[Verkehrsmittel]]="Straßen-, S-, U-Bahn",Tabelle29[[#This Row],[Entfernung (km) gesamt]],0)*Tabelle29[[#This Row],[Anzahl Studierende ]]</f>
        <v>0</v>
      </c>
      <c r="V34" s="36">
        <f>IF(Tabelle29[[#This Row],[Verkehrsmittel]]="Fahrrad",Tabelle29[[#This Row],[Entfernung (km) gesamt]],0)*Tabelle29[[#This Row],[Anzahl Studierende ]]</f>
        <v>0</v>
      </c>
    </row>
    <row r="35" spans="2:22">
      <c r="B35" s="138"/>
      <c r="C35" s="139"/>
      <c r="D35" s="160"/>
      <c r="E35" s="111"/>
      <c r="F35" s="111"/>
      <c r="G35" s="111"/>
      <c r="H35" s="117">
        <f>Tabelle29[[#This Row],[Entfernung (km) einfach]]*2</f>
        <v>0</v>
      </c>
      <c r="I35" s="111"/>
      <c r="J35" s="140"/>
      <c r="K35" s="36">
        <f>IF(Tabelle29[[#This Row],[Verkehrsmittel]]="Bus",Tabelle29[[#This Row],[Entfernung (km) gesamt]],0)*Tabelle29[[#This Row],[Anzahl Studierende ]]</f>
        <v>0</v>
      </c>
      <c r="L35" s="36">
        <f>IF(Tabelle29[[#This Row],[Verkehrsmittel]]="Bahn",Tabelle29[[#This Row],[Anzahl Studierende ]]*Tabelle29[[#This Row],[Entfernung (km) gesamt]],0)</f>
        <v>0</v>
      </c>
      <c r="M35" s="36">
        <f>IF(Tabelle29[[#This Row],[Verkehrsmittel]]="PKW",Tabelle29[[#This Row],[Anzahl Studierende ]]*Tabelle29[[#This Row],[Entfernung (km) gesamt]],0)</f>
        <v>0</v>
      </c>
      <c r="N35" s="36">
        <f>IF(Tabelle29[[#This Row],[Verkehrsmittel]]="Flug", IF(AND(Tabelle29[[#This Row],[Entfernung (km) einfach]]&lt;500),Tabelle29[[#This Row],[Entfernung (km) gesamt]]), 0)*Tabelle29[[#This Row],[Anzahl Studierende ]]</f>
        <v>0</v>
      </c>
      <c r="O35" s="36">
        <f>IF(Tabelle29[[#This Row],[Verkehrsmittel]]="Flug", IF(AND(Tabelle29[[#This Row],[Entfernung (km) einfach]]&gt;500,Tabelle29[[#This Row],[Entfernung (km) einfach]]&lt;1000),Tabelle29[[#This Row],[Entfernung (km) gesamt]], 0), 0)*Tabelle29[[#This Row],[Anzahl Studierende ]]</f>
        <v>0</v>
      </c>
      <c r="P35" s="36">
        <f>IF(Tabelle29[[#This Row],[Verkehrsmittel]]="Flug", IF(AND(Tabelle29[[#This Row],[Entfernung (km) einfach]]&gt;1000,Tabelle29[[#This Row],[Entfernung (km) einfach]]&lt;2000),Tabelle29[[#This Row],[Entfernung (km) gesamt]], 0), 0)*Tabelle29[[#This Row],[Anzahl Studierende ]]</f>
        <v>0</v>
      </c>
      <c r="Q35" s="36">
        <f>IF(Tabelle29[[#This Row],[Verkehrsmittel]]="Flug", IF(AND(Tabelle29[[#This Row],[Entfernung (km) einfach]]&gt;2000,Tabelle29[[#This Row],[Entfernung (km) einfach]]&lt;5000),Tabelle29[[#This Row],[Entfernung (km) gesamt]], 0), 0)*Tabelle29[[#This Row],[Anzahl Studierende ]]</f>
        <v>0</v>
      </c>
      <c r="R35" s="36">
        <f>IF(Tabelle29[[#This Row],[Verkehrsmittel]]="Flug", IF(AND(Tabelle29[[#This Row],[Entfernung (km) einfach]]&gt;5000,Tabelle29[[#This Row],[Entfernung (km) einfach]]&lt;10000),Tabelle29[[#This Row],[Entfernung (km) gesamt]], 0), 0)*Tabelle29[[#This Row],[Anzahl Studierende ]]</f>
        <v>0</v>
      </c>
      <c r="S35" s="36">
        <f>IF(Tabelle29[[#This Row],[Verkehrsmittel]]="Flug", IF(AND(Tabelle29[[#This Row],[Entfernung (km) einfach]]&gt;10000),Tabelle29[[#This Row],[Entfernung (km) gesamt]]), 0)*Tabelle29[[#This Row],[Anzahl Studierende ]]</f>
        <v>0</v>
      </c>
      <c r="T35" s="36">
        <f>IF(Tabelle29[[#This Row],[Verkehrsmittel]]="Motorrad",Tabelle29[[#This Row],[Entfernung (km) gesamt]],0)*Tabelle29[[#This Row],[Anzahl Studierende ]]</f>
        <v>0</v>
      </c>
      <c r="U35" s="36">
        <f>IF(Tabelle29[[#This Row],[Verkehrsmittel]]="Straßen-, S-, U-Bahn",Tabelle29[[#This Row],[Entfernung (km) gesamt]],0)*Tabelle29[[#This Row],[Anzahl Studierende ]]</f>
        <v>0</v>
      </c>
      <c r="V35" s="36">
        <f>IF(Tabelle29[[#This Row],[Verkehrsmittel]]="Fahrrad",Tabelle29[[#This Row],[Entfernung (km) gesamt]],0)*Tabelle29[[#This Row],[Anzahl Studierende ]]</f>
        <v>0</v>
      </c>
    </row>
    <row r="36" spans="2:22">
      <c r="B36" s="138"/>
      <c r="C36" s="139"/>
      <c r="D36" s="160"/>
      <c r="E36" s="111"/>
      <c r="F36" s="111"/>
      <c r="G36" s="111"/>
      <c r="H36" s="117">
        <f>Tabelle29[[#This Row],[Entfernung (km) einfach]]*2</f>
        <v>0</v>
      </c>
      <c r="I36" s="111"/>
      <c r="J36" s="140"/>
      <c r="K36" s="36">
        <f>IF(Tabelle29[[#This Row],[Verkehrsmittel]]="Bus",Tabelle29[[#This Row],[Entfernung (km) gesamt]],0)*Tabelle29[[#This Row],[Anzahl Studierende ]]</f>
        <v>0</v>
      </c>
      <c r="L36" s="36">
        <f>IF(Tabelle29[[#This Row],[Verkehrsmittel]]="Bahn",Tabelle29[[#This Row],[Anzahl Studierende ]]*Tabelle29[[#This Row],[Entfernung (km) gesamt]],0)</f>
        <v>0</v>
      </c>
      <c r="M36" s="36">
        <f>IF(Tabelle29[[#This Row],[Verkehrsmittel]]="PKW",Tabelle29[[#This Row],[Anzahl Studierende ]]*Tabelle29[[#This Row],[Entfernung (km) gesamt]],0)</f>
        <v>0</v>
      </c>
      <c r="N36" s="36">
        <f>IF(Tabelle29[[#This Row],[Verkehrsmittel]]="Flug", IF(AND(Tabelle29[[#This Row],[Entfernung (km) einfach]]&lt;500),Tabelle29[[#This Row],[Entfernung (km) gesamt]]), 0)*Tabelle29[[#This Row],[Anzahl Studierende ]]</f>
        <v>0</v>
      </c>
      <c r="O36" s="36">
        <f>IF(Tabelle29[[#This Row],[Verkehrsmittel]]="Flug", IF(AND(Tabelle29[[#This Row],[Entfernung (km) einfach]]&gt;500,Tabelle29[[#This Row],[Entfernung (km) einfach]]&lt;1000),Tabelle29[[#This Row],[Entfernung (km) gesamt]], 0), 0)*Tabelle29[[#This Row],[Anzahl Studierende ]]</f>
        <v>0</v>
      </c>
      <c r="P36" s="36">
        <f>IF(Tabelle29[[#This Row],[Verkehrsmittel]]="Flug", IF(AND(Tabelle29[[#This Row],[Entfernung (km) einfach]]&gt;1000,Tabelle29[[#This Row],[Entfernung (km) einfach]]&lt;2000),Tabelle29[[#This Row],[Entfernung (km) gesamt]], 0), 0)*Tabelle29[[#This Row],[Anzahl Studierende ]]</f>
        <v>0</v>
      </c>
      <c r="Q36" s="36">
        <f>IF(Tabelle29[[#This Row],[Verkehrsmittel]]="Flug", IF(AND(Tabelle29[[#This Row],[Entfernung (km) einfach]]&gt;2000,Tabelle29[[#This Row],[Entfernung (km) einfach]]&lt;5000),Tabelle29[[#This Row],[Entfernung (km) gesamt]], 0), 0)*Tabelle29[[#This Row],[Anzahl Studierende ]]</f>
        <v>0</v>
      </c>
      <c r="R36" s="36">
        <f>IF(Tabelle29[[#This Row],[Verkehrsmittel]]="Flug", IF(AND(Tabelle29[[#This Row],[Entfernung (km) einfach]]&gt;5000,Tabelle29[[#This Row],[Entfernung (km) einfach]]&lt;10000),Tabelle29[[#This Row],[Entfernung (km) gesamt]], 0), 0)*Tabelle29[[#This Row],[Anzahl Studierende ]]</f>
        <v>0</v>
      </c>
      <c r="S36" s="36">
        <f>IF(Tabelle29[[#This Row],[Verkehrsmittel]]="Flug", IF(AND(Tabelle29[[#This Row],[Entfernung (km) einfach]]&gt;10000),Tabelle29[[#This Row],[Entfernung (km) gesamt]]), 0)*Tabelle29[[#This Row],[Anzahl Studierende ]]</f>
        <v>0</v>
      </c>
      <c r="T36" s="36">
        <f>IF(Tabelle29[[#This Row],[Verkehrsmittel]]="Motorrad",Tabelle29[[#This Row],[Entfernung (km) gesamt]],0)*Tabelle29[[#This Row],[Anzahl Studierende ]]</f>
        <v>0</v>
      </c>
      <c r="U36" s="36">
        <f>IF(Tabelle29[[#This Row],[Verkehrsmittel]]="Straßen-, S-, U-Bahn",Tabelle29[[#This Row],[Entfernung (km) gesamt]],0)*Tabelle29[[#This Row],[Anzahl Studierende ]]</f>
        <v>0</v>
      </c>
      <c r="V36" s="36">
        <f>IF(Tabelle29[[#This Row],[Verkehrsmittel]]="Fahrrad",Tabelle29[[#This Row],[Entfernung (km) gesamt]],0)*Tabelle29[[#This Row],[Anzahl Studierende ]]</f>
        <v>0</v>
      </c>
    </row>
    <row r="37" spans="2:22">
      <c r="B37" s="138"/>
      <c r="C37" s="139"/>
      <c r="D37" s="160"/>
      <c r="E37" s="111"/>
      <c r="F37" s="111"/>
      <c r="G37" s="111"/>
      <c r="H37" s="117">
        <f>Tabelle29[[#This Row],[Entfernung (km) einfach]]*2</f>
        <v>0</v>
      </c>
      <c r="I37" s="111"/>
      <c r="J37" s="140"/>
      <c r="K37" s="36">
        <f>IF(Tabelle29[[#This Row],[Verkehrsmittel]]="Bus",Tabelle29[[#This Row],[Entfernung (km) gesamt]],0)*Tabelle29[[#This Row],[Anzahl Studierende ]]</f>
        <v>0</v>
      </c>
      <c r="L37" s="36">
        <f>IF(Tabelle29[[#This Row],[Verkehrsmittel]]="Bahn",Tabelle29[[#This Row],[Anzahl Studierende ]]*Tabelle29[[#This Row],[Entfernung (km) gesamt]],0)</f>
        <v>0</v>
      </c>
      <c r="M37" s="36">
        <f>IF(Tabelle29[[#This Row],[Verkehrsmittel]]="PKW",Tabelle29[[#This Row],[Anzahl Studierende ]]*Tabelle29[[#This Row],[Entfernung (km) gesamt]],0)</f>
        <v>0</v>
      </c>
      <c r="N37" s="36">
        <f>IF(Tabelle29[[#This Row],[Verkehrsmittel]]="Flug", IF(AND(Tabelle29[[#This Row],[Entfernung (km) einfach]]&lt;500),Tabelle29[[#This Row],[Entfernung (km) gesamt]]), 0)*Tabelle29[[#This Row],[Anzahl Studierende ]]</f>
        <v>0</v>
      </c>
      <c r="O37" s="36">
        <f>IF(Tabelle29[[#This Row],[Verkehrsmittel]]="Flug", IF(AND(Tabelle29[[#This Row],[Entfernung (km) einfach]]&gt;500,Tabelle29[[#This Row],[Entfernung (km) einfach]]&lt;1000),Tabelle29[[#This Row],[Entfernung (km) gesamt]], 0), 0)*Tabelle29[[#This Row],[Anzahl Studierende ]]</f>
        <v>0</v>
      </c>
      <c r="P37" s="36">
        <f>IF(Tabelle29[[#This Row],[Verkehrsmittel]]="Flug", IF(AND(Tabelle29[[#This Row],[Entfernung (km) einfach]]&gt;1000,Tabelle29[[#This Row],[Entfernung (km) einfach]]&lt;2000),Tabelle29[[#This Row],[Entfernung (km) gesamt]], 0), 0)*Tabelle29[[#This Row],[Anzahl Studierende ]]</f>
        <v>0</v>
      </c>
      <c r="Q37" s="36">
        <f>IF(Tabelle29[[#This Row],[Verkehrsmittel]]="Flug", IF(AND(Tabelle29[[#This Row],[Entfernung (km) einfach]]&gt;2000,Tabelle29[[#This Row],[Entfernung (km) einfach]]&lt;5000),Tabelle29[[#This Row],[Entfernung (km) gesamt]], 0), 0)*Tabelle29[[#This Row],[Anzahl Studierende ]]</f>
        <v>0</v>
      </c>
      <c r="R37" s="36">
        <f>IF(Tabelle29[[#This Row],[Verkehrsmittel]]="Flug", IF(AND(Tabelle29[[#This Row],[Entfernung (km) einfach]]&gt;5000,Tabelle29[[#This Row],[Entfernung (km) einfach]]&lt;10000),Tabelle29[[#This Row],[Entfernung (km) gesamt]], 0), 0)*Tabelle29[[#This Row],[Anzahl Studierende ]]</f>
        <v>0</v>
      </c>
      <c r="S37" s="36">
        <f>IF(Tabelle29[[#This Row],[Verkehrsmittel]]="Flug", IF(AND(Tabelle29[[#This Row],[Entfernung (km) einfach]]&gt;10000),Tabelle29[[#This Row],[Entfernung (km) gesamt]]), 0)*Tabelle29[[#This Row],[Anzahl Studierende ]]</f>
        <v>0</v>
      </c>
      <c r="T37" s="36">
        <f>IF(Tabelle29[[#This Row],[Verkehrsmittel]]="Motorrad",Tabelle29[[#This Row],[Entfernung (km) gesamt]],0)*Tabelle29[[#This Row],[Anzahl Studierende ]]</f>
        <v>0</v>
      </c>
      <c r="U37" s="36">
        <f>IF(Tabelle29[[#This Row],[Verkehrsmittel]]="Straßen-, S-, U-Bahn",Tabelle29[[#This Row],[Entfernung (km) gesamt]],0)*Tabelle29[[#This Row],[Anzahl Studierende ]]</f>
        <v>0</v>
      </c>
      <c r="V37" s="36">
        <f>IF(Tabelle29[[#This Row],[Verkehrsmittel]]="Fahrrad",Tabelle29[[#This Row],[Entfernung (km) gesamt]],0)*Tabelle29[[#This Row],[Anzahl Studierende ]]</f>
        <v>0</v>
      </c>
    </row>
    <row r="38" spans="2:22">
      <c r="B38" s="138"/>
      <c r="C38" s="139"/>
      <c r="D38" s="160"/>
      <c r="E38" s="111"/>
      <c r="F38" s="111"/>
      <c r="G38" s="111"/>
      <c r="H38" s="117">
        <f>Tabelle29[[#This Row],[Entfernung (km) einfach]]*2</f>
        <v>0</v>
      </c>
      <c r="I38" s="111"/>
      <c r="J38" s="140"/>
      <c r="K38" s="36">
        <f>IF(Tabelle29[[#This Row],[Verkehrsmittel]]="Bus",Tabelle29[[#This Row],[Entfernung (km) gesamt]],0)*Tabelle29[[#This Row],[Anzahl Studierende ]]</f>
        <v>0</v>
      </c>
      <c r="L38" s="36">
        <f>IF(Tabelle29[[#This Row],[Verkehrsmittel]]="Bahn",Tabelle29[[#This Row],[Anzahl Studierende ]]*Tabelle29[[#This Row],[Entfernung (km) gesamt]],0)</f>
        <v>0</v>
      </c>
      <c r="M38" s="36">
        <f>IF(Tabelle29[[#This Row],[Verkehrsmittel]]="PKW",Tabelle29[[#This Row],[Anzahl Studierende ]]*Tabelle29[[#This Row],[Entfernung (km) gesamt]],0)</f>
        <v>0</v>
      </c>
      <c r="N38" s="36">
        <f>IF(Tabelle29[[#This Row],[Verkehrsmittel]]="Flug", IF(AND(Tabelle29[[#This Row],[Entfernung (km) einfach]]&lt;500),Tabelle29[[#This Row],[Entfernung (km) gesamt]]), 0)*Tabelle29[[#This Row],[Anzahl Studierende ]]</f>
        <v>0</v>
      </c>
      <c r="O38" s="36">
        <f>IF(Tabelle29[[#This Row],[Verkehrsmittel]]="Flug", IF(AND(Tabelle29[[#This Row],[Entfernung (km) einfach]]&gt;500,Tabelle29[[#This Row],[Entfernung (km) einfach]]&lt;1000),Tabelle29[[#This Row],[Entfernung (km) gesamt]], 0), 0)*Tabelle29[[#This Row],[Anzahl Studierende ]]</f>
        <v>0</v>
      </c>
      <c r="P38" s="36">
        <f>IF(Tabelle29[[#This Row],[Verkehrsmittel]]="Flug", IF(AND(Tabelle29[[#This Row],[Entfernung (km) einfach]]&gt;1000,Tabelle29[[#This Row],[Entfernung (km) einfach]]&lt;2000),Tabelle29[[#This Row],[Entfernung (km) gesamt]], 0), 0)*Tabelle29[[#This Row],[Anzahl Studierende ]]</f>
        <v>0</v>
      </c>
      <c r="Q38" s="36">
        <f>IF(Tabelle29[[#This Row],[Verkehrsmittel]]="Flug", IF(AND(Tabelle29[[#This Row],[Entfernung (km) einfach]]&gt;2000,Tabelle29[[#This Row],[Entfernung (km) einfach]]&lt;5000),Tabelle29[[#This Row],[Entfernung (km) gesamt]], 0), 0)*Tabelle29[[#This Row],[Anzahl Studierende ]]</f>
        <v>0</v>
      </c>
      <c r="R38" s="36">
        <f>IF(Tabelle29[[#This Row],[Verkehrsmittel]]="Flug", IF(AND(Tabelle29[[#This Row],[Entfernung (km) einfach]]&gt;5000,Tabelle29[[#This Row],[Entfernung (km) einfach]]&lt;10000),Tabelle29[[#This Row],[Entfernung (km) gesamt]], 0), 0)*Tabelle29[[#This Row],[Anzahl Studierende ]]</f>
        <v>0</v>
      </c>
      <c r="S38" s="36">
        <f>IF(Tabelle29[[#This Row],[Verkehrsmittel]]="Flug", IF(AND(Tabelle29[[#This Row],[Entfernung (km) einfach]]&gt;10000),Tabelle29[[#This Row],[Entfernung (km) gesamt]]), 0)*Tabelle29[[#This Row],[Anzahl Studierende ]]</f>
        <v>0</v>
      </c>
      <c r="T38" s="36">
        <f>IF(Tabelle29[[#This Row],[Verkehrsmittel]]="Motorrad",Tabelle29[[#This Row],[Entfernung (km) gesamt]],0)*Tabelle29[[#This Row],[Anzahl Studierende ]]</f>
        <v>0</v>
      </c>
      <c r="U38" s="36">
        <f>IF(Tabelle29[[#This Row],[Verkehrsmittel]]="Straßen-, S-, U-Bahn",Tabelle29[[#This Row],[Entfernung (km) gesamt]],0)*Tabelle29[[#This Row],[Anzahl Studierende ]]</f>
        <v>0</v>
      </c>
      <c r="V38" s="36">
        <f>IF(Tabelle29[[#This Row],[Verkehrsmittel]]="Fahrrad",Tabelle29[[#This Row],[Entfernung (km) gesamt]],0)*Tabelle29[[#This Row],[Anzahl Studierende ]]</f>
        <v>0</v>
      </c>
    </row>
    <row r="39" spans="2:22" ht="14.4" thickBot="1">
      <c r="B39" s="141"/>
      <c r="C39" s="142"/>
      <c r="D39" s="162"/>
      <c r="E39" s="122"/>
      <c r="F39" s="122"/>
      <c r="G39" s="122"/>
      <c r="H39" s="143">
        <f>Tabelle29[[#This Row],[Entfernung (km) einfach]]*2</f>
        <v>0</v>
      </c>
      <c r="I39" s="122"/>
      <c r="J39" s="144"/>
      <c r="K39">
        <f>IF(Tabelle29[[#This Row],[Verkehrsmittel]]="Bus",Tabelle29[[#This Row],[Entfernung (km) gesamt]],0)*Tabelle29[[#This Row],[Anzahl Studierende ]]</f>
        <v>0</v>
      </c>
      <c r="L39">
        <f>IF(Tabelle29[[#This Row],[Verkehrsmittel]]="Bahn",Tabelle29[[#This Row],[Anzahl Studierende ]]*Tabelle29[[#This Row],[Entfernung (km) gesamt]],0)</f>
        <v>0</v>
      </c>
      <c r="M39">
        <f>IF(Tabelle29[[#This Row],[Verkehrsmittel]]="PKW",Tabelle29[[#This Row],[Anzahl Studierende ]]*Tabelle29[[#This Row],[Entfernung (km) gesamt]],0)</f>
        <v>0</v>
      </c>
      <c r="N39">
        <f>IF(Tabelle29[[#This Row],[Verkehrsmittel]]="Flug", IF(AND(Tabelle29[[#This Row],[Entfernung (km) einfach]]&lt;500),Tabelle29[[#This Row],[Entfernung (km) gesamt]]), 0)*Tabelle29[[#This Row],[Anzahl Studierende ]]</f>
        <v>0</v>
      </c>
      <c r="O39">
        <f>IF(Tabelle29[[#This Row],[Verkehrsmittel]]="Flug", IF(AND(Tabelle29[[#This Row],[Entfernung (km) einfach]]&gt;500,Tabelle29[[#This Row],[Entfernung (km) einfach]]&lt;1000),Tabelle29[[#This Row],[Entfernung (km) gesamt]], 0), 0)*Tabelle29[[#This Row],[Anzahl Studierende ]]</f>
        <v>0</v>
      </c>
      <c r="P39">
        <f>IF(Tabelle29[[#This Row],[Verkehrsmittel]]="Flug", IF(AND(Tabelle29[[#This Row],[Entfernung (km) einfach]]&gt;1000,Tabelle29[[#This Row],[Entfernung (km) einfach]]&lt;2000),Tabelle29[[#This Row],[Entfernung (km) gesamt]], 0), 0)*Tabelle29[[#This Row],[Anzahl Studierende ]]</f>
        <v>0</v>
      </c>
      <c r="Q39">
        <f>IF(Tabelle29[[#This Row],[Verkehrsmittel]]="Flug", IF(AND(Tabelle29[[#This Row],[Entfernung (km) einfach]]&gt;2000,Tabelle29[[#This Row],[Entfernung (km) einfach]]&lt;5000),Tabelle29[[#This Row],[Entfernung (km) gesamt]], 0), 0)*Tabelle29[[#This Row],[Anzahl Studierende ]]</f>
        <v>0</v>
      </c>
      <c r="R39">
        <f>IF(Tabelle29[[#This Row],[Verkehrsmittel]]="Flug", IF(AND(Tabelle29[[#This Row],[Entfernung (km) einfach]]&gt;5000,Tabelle29[[#This Row],[Entfernung (km) einfach]]&lt;10000),Tabelle29[[#This Row],[Entfernung (km) gesamt]], 0), 0)*Tabelle29[[#This Row],[Anzahl Studierende ]]</f>
        <v>0</v>
      </c>
      <c r="S39">
        <f>IF(Tabelle29[[#This Row],[Verkehrsmittel]]="Flug", IF(AND(Tabelle29[[#This Row],[Entfernung (km) einfach]]&gt;10000),Tabelle29[[#This Row],[Entfernung (km) gesamt]]), 0)*Tabelle29[[#This Row],[Anzahl Studierende ]]</f>
        <v>0</v>
      </c>
      <c r="T39">
        <f>IF(Tabelle29[[#This Row],[Verkehrsmittel]]="Motorrad",Tabelle29[[#This Row],[Entfernung (km) gesamt]],0)*Tabelle29[[#This Row],[Anzahl Studierende ]]</f>
        <v>0</v>
      </c>
      <c r="U39">
        <f>IF(Tabelle29[[#This Row],[Verkehrsmittel]]="Straßen-, S-, U-Bahn",Tabelle29[[#This Row],[Entfernung (km) gesamt]],0)*Tabelle29[[#This Row],[Anzahl Studierende ]]</f>
        <v>0</v>
      </c>
      <c r="V39">
        <f>IF(Tabelle29[[#This Row],[Verkehrsmittel]]="Fahrrad",Tabelle29[[#This Row],[Entfernung (km) gesamt]],0)*Tabelle29[[#This Row],[Anzahl Studierende ]]</f>
        <v>0</v>
      </c>
    </row>
    <row r="40" spans="2:22" ht="14.4" thickBot="1">
      <c r="B40" s="163"/>
      <c r="C40" s="164"/>
      <c r="D40" s="165"/>
      <c r="E40" s="164"/>
      <c r="F40" s="164"/>
      <c r="G40" s="164"/>
      <c r="H40" s="164"/>
      <c r="I40" s="164"/>
      <c r="J40" s="166"/>
      <c r="K40" s="5">
        <f>SUM(Tabelle29[Km Bus])</f>
        <v>0</v>
      </c>
      <c r="L40" s="5">
        <f>SUM(Tabelle29[Km Bahn])</f>
        <v>0</v>
      </c>
      <c r="M40" s="5">
        <f>SUM(Tabelle29[Km PKW])</f>
        <v>0</v>
      </c>
      <c r="N40" s="5">
        <f>SUM(Tabelle29[Flug bis 500])</f>
        <v>0</v>
      </c>
      <c r="O40" s="5">
        <f>SUM(Tabelle29[Flug 500 - 1000 km])</f>
        <v>0</v>
      </c>
      <c r="P40" s="5">
        <f>SUM(Tabelle29[Flug 1000 - 2000])</f>
        <v>0</v>
      </c>
      <c r="Q40" s="5">
        <f>SUM(Tabelle29[Flug 2000 - 5000])</f>
        <v>0</v>
      </c>
      <c r="R40" s="5">
        <f>SUM(Tabelle29[Flug 5000 - 10000])</f>
        <v>0</v>
      </c>
      <c r="S40" s="5">
        <f>SUM(Tabelle29[Flug über 10000])</f>
        <v>0</v>
      </c>
      <c r="T40" s="5">
        <f>SUM(Tabelle29[Motorrad])</f>
        <v>0</v>
      </c>
      <c r="U40" s="5">
        <f>SUM(Tabelle29[Straßen-, S-, U-Bahn])</f>
        <v>0</v>
      </c>
      <c r="V40" s="5">
        <f>SUM(Tabelle29[Fahrrad])</f>
        <v>0</v>
      </c>
    </row>
  </sheetData>
  <sheetProtection algorithmName="SHA-512" hashValue="Dz0bT4b72AlaxgSetEUCocT7OM+QCuwGUPKNL/I1OKu+M1PCOKKwS8nzH6e4T4ku66Hg2oMPpQ6XJKP57t+CGA==" saltValue="zJWedvtE0b01fK1JtXGIiw==" spinCount="100000" sheet="1" objects="1" formatCells="0" formatColumns="0" formatRows="0" insertColumns="0" insertRows="0" insertHyperlinks="0" deleteColumns="0" deleteRows="0" sort="0" autoFilter="0" pivotTables="0"/>
  <mergeCells count="2">
    <mergeCell ref="B5:C5"/>
    <mergeCell ref="F2:G5"/>
  </mergeCells>
  <phoneticPr fontId="3" type="noConversion"/>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Hilfstabelle!$C$1:$C$7</xm:f>
          </x14:formula1>
          <xm:sqref>E22:E24</xm:sqref>
        </x14:dataValidation>
        <x14:dataValidation type="list" allowBlank="1" showInputMessage="1" showErrorMessage="1" xr:uid="{00000000-0002-0000-0600-000000000000}">
          <x14:formula1>
            <xm:f>Hilfstabelle!$A$1:$A$8</xm:f>
          </x14:formula1>
          <xm:sqref>I8:I39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0"/>
  <sheetViews>
    <sheetView showGridLines="0" workbookViewId="0">
      <selection activeCell="G12" sqref="G12"/>
    </sheetView>
  </sheetViews>
  <sheetFormatPr baseColWidth="10" defaultRowHeight="13.8"/>
  <cols>
    <col min="1" max="1" width="21.8984375" bestFit="1" customWidth="1"/>
    <col min="2" max="3" width="11.19921875" style="20"/>
    <col min="4" max="4" width="20.8984375" style="20" bestFit="1" customWidth="1"/>
    <col min="5" max="5" width="18.796875" style="20" customWidth="1"/>
    <col min="6" max="6" width="25" style="20" customWidth="1"/>
    <col min="7" max="7" width="24.3984375" style="20" bestFit="1" customWidth="1"/>
    <col min="8" max="8" width="24.19921875" style="20" bestFit="1" customWidth="1"/>
    <col min="9" max="9" width="15.8984375" style="20" bestFit="1" customWidth="1"/>
    <col min="10" max="10" width="14.296875" style="20" bestFit="1" customWidth="1"/>
    <col min="11" max="11" width="18.296875" hidden="1" customWidth="1"/>
    <col min="12" max="18" width="11.19921875" hidden="1" customWidth="1"/>
    <col min="19" max="19" width="16.8984375" hidden="1" customWidth="1"/>
    <col min="20" max="22" width="0" hidden="1" customWidth="1"/>
  </cols>
  <sheetData>
    <row r="1" spans="1:22" ht="14.4" thickBot="1"/>
    <row r="2" spans="1:22" ht="14.4" thickBot="1">
      <c r="B2" s="98"/>
      <c r="F2" s="94" t="s">
        <v>51</v>
      </c>
      <c r="G2" s="95"/>
    </row>
    <row r="3" spans="1:22" ht="14.4" thickBot="1">
      <c r="A3" s="1" t="s">
        <v>19</v>
      </c>
      <c r="B3" s="54" t="s">
        <v>46</v>
      </c>
      <c r="C3" s="55"/>
      <c r="F3" s="96"/>
      <c r="G3" s="97"/>
    </row>
    <row r="4" spans="1:22" ht="14.4" thickBot="1">
      <c r="F4" s="96"/>
      <c r="G4" s="97"/>
    </row>
    <row r="5" spans="1:22" ht="14.4" thickBot="1">
      <c r="A5" s="1" t="s">
        <v>37</v>
      </c>
      <c r="B5" s="52"/>
      <c r="C5" s="53"/>
      <c r="F5" s="99"/>
      <c r="G5" s="100"/>
    </row>
    <row r="6" spans="1:22" ht="14.4" thickBot="1">
      <c r="A6" s="1"/>
    </row>
    <row r="7" spans="1:22" ht="14.4" thickBot="1">
      <c r="A7" s="1"/>
      <c r="B7" s="145" t="s">
        <v>0</v>
      </c>
      <c r="C7" s="146" t="s">
        <v>1</v>
      </c>
      <c r="D7" s="146" t="s">
        <v>2</v>
      </c>
      <c r="E7" s="146" t="s">
        <v>3</v>
      </c>
      <c r="F7" s="146" t="s">
        <v>4</v>
      </c>
      <c r="G7" s="146" t="s">
        <v>16</v>
      </c>
      <c r="H7" s="146" t="s">
        <v>22</v>
      </c>
      <c r="I7" s="146" t="s">
        <v>5</v>
      </c>
      <c r="J7" s="147" t="s">
        <v>6</v>
      </c>
      <c r="K7" t="s">
        <v>13</v>
      </c>
      <c r="L7" t="s">
        <v>14</v>
      </c>
      <c r="M7" t="s">
        <v>15</v>
      </c>
      <c r="N7" t="s">
        <v>23</v>
      </c>
      <c r="O7" t="s">
        <v>24</v>
      </c>
      <c r="P7" t="s">
        <v>17</v>
      </c>
      <c r="Q7" t="s">
        <v>20</v>
      </c>
      <c r="R7" t="s">
        <v>18</v>
      </c>
      <c r="S7" t="s">
        <v>21</v>
      </c>
      <c r="T7" s="8" t="s">
        <v>33</v>
      </c>
      <c r="U7" s="8" t="s">
        <v>34</v>
      </c>
      <c r="V7" s="8" t="s">
        <v>10</v>
      </c>
    </row>
    <row r="8" spans="1:22" ht="15.6">
      <c r="B8" s="104"/>
      <c r="C8" s="105"/>
      <c r="D8" s="106"/>
      <c r="E8" s="107"/>
      <c r="F8" s="107"/>
      <c r="G8" s="106"/>
      <c r="H8" s="107">
        <f>Tabelle210[[#This Row],[Entfernung (km) einfach]]*2</f>
        <v>0</v>
      </c>
      <c r="I8" s="107"/>
      <c r="J8" s="158"/>
      <c r="K8" s="7">
        <f>IF(Tabelle210[[#This Row],[Verkehrsmittel]]="Bus",Tabelle210[[#This Row],[Entfernung (km) gesamt]],0)*Tabelle210[[#This Row],[Anzahl Studierende ]]</f>
        <v>0</v>
      </c>
      <c r="L8" s="7">
        <f>IF(Tabelle210[[#This Row],[Verkehrsmittel]]="Bahn",Tabelle210[[#This Row],[Anzahl Studierende ]]*Tabelle210[[#This Row],[Entfernung (km) gesamt]],0)</f>
        <v>0</v>
      </c>
      <c r="M8" s="7">
        <f>IF(Tabelle210[[#This Row],[Verkehrsmittel]]="PKW",Tabelle210[[#This Row],[Anzahl Studierende ]]*Tabelle210[[#This Row],[Entfernung (km) gesamt]],0)</f>
        <v>0</v>
      </c>
      <c r="N8" s="7">
        <f>IF(Tabelle210[[#This Row],[Verkehrsmittel]]="Flug", IF(AND(Tabelle210[[#This Row],[Entfernung (km) einfach]]&lt;500),Tabelle210[[#This Row],[Entfernung (km) gesamt]]), 0)*Tabelle210[[#This Row],[Anzahl Studierende ]]</f>
        <v>0</v>
      </c>
      <c r="O8" s="7">
        <f>IF(Tabelle210[[#This Row],[Verkehrsmittel]]="Flug", IF(AND(Tabelle210[[#This Row],[Entfernung (km) einfach]]&gt;500,Tabelle210[[#This Row],[Entfernung (km) einfach]]&lt;1000),Tabelle210[[#This Row],[Entfernung (km) gesamt]], 0), 0)*Tabelle210[[#This Row],[Anzahl Studierende ]]</f>
        <v>0</v>
      </c>
      <c r="P8" s="7">
        <f>IF(Tabelle210[[#This Row],[Verkehrsmittel]]="Flug", IF(AND(Tabelle210[[#This Row],[Entfernung (km) einfach]]&gt;1000,Tabelle210[[#This Row],[Entfernung (km) einfach]]&lt;2000),Tabelle210[[#This Row],[Entfernung (km) gesamt]], 0), 0)*Tabelle210[[#This Row],[Anzahl Studierende ]]</f>
        <v>0</v>
      </c>
      <c r="Q8" s="7">
        <f>IF(Tabelle210[[#This Row],[Verkehrsmittel]]="Flug", IF(AND(Tabelle210[[#This Row],[Entfernung (km) einfach]]&gt;2000,Tabelle210[[#This Row],[Entfernung (km) einfach]]&lt;5000),Tabelle210[[#This Row],[Entfernung (km) gesamt]], 0), 0)*Tabelle210[[#This Row],[Anzahl Studierende ]]</f>
        <v>0</v>
      </c>
      <c r="R8" s="7">
        <f>IF(Tabelle210[[#This Row],[Verkehrsmittel]]="Flug", IF(AND(Tabelle210[[#This Row],[Entfernung (km) einfach]]&gt;5000,Tabelle210[[#This Row],[Entfernung (km) einfach]]&lt;10000),Tabelle210[[#This Row],[Entfernung (km) gesamt]], 0), 0)*Tabelle210[[#This Row],[Anzahl Studierende ]]</f>
        <v>0</v>
      </c>
      <c r="S8" s="7">
        <f>IF(Tabelle210[[#This Row],[Verkehrsmittel]]="Flug", IF(AND(Tabelle210[[#This Row],[Entfernung (km) einfach]]&gt;10000),Tabelle210[[#This Row],[Entfernung (km) gesamt]]), 0)*Tabelle210[[#This Row],[Anzahl Studierende ]]</f>
        <v>0</v>
      </c>
      <c r="T8" s="9">
        <f>IF(Tabelle210[[#This Row],[Verkehrsmittel]]="Motorrad",Tabelle210[[#This Row],[Entfernung (km) gesamt]],0)*Tabelle210[[#This Row],[Anzahl Studierende ]]</f>
        <v>0</v>
      </c>
      <c r="U8" s="9">
        <f>IF(Tabelle210[[#This Row],[Verkehrsmittel]]="Straßen-, S-, U-Bahn",Tabelle210[[#This Row],[Entfernung (km) gesamt]],0)*Tabelle210[[#This Row],[Anzahl Studierende ]]</f>
        <v>0</v>
      </c>
      <c r="V8" s="9">
        <f>IF(Tabelle210[[#This Row],[Verkehrsmittel]]="Fahrrad",Tabelle210[[#This Row],[Entfernung (km) gesamt]],0)*Tabelle210[[#This Row],[Anzahl Studierende ]]</f>
        <v>0</v>
      </c>
    </row>
    <row r="9" spans="1:22">
      <c r="B9" s="159"/>
      <c r="C9" s="111"/>
      <c r="D9" s="160"/>
      <c r="E9" s="111"/>
      <c r="F9" s="111"/>
      <c r="G9" s="111"/>
      <c r="H9" s="111">
        <f>Tabelle210[[#This Row],[Entfernung (km) einfach]]*2</f>
        <v>0</v>
      </c>
      <c r="I9" s="111"/>
      <c r="J9" s="140"/>
      <c r="K9">
        <f>IF(Tabelle210[[#This Row],[Verkehrsmittel]]="Bus",Tabelle210[[#This Row],[Entfernung (km) gesamt]],0)*Tabelle210[[#This Row],[Anzahl Studierende ]]</f>
        <v>0</v>
      </c>
      <c r="L9">
        <f>IF(Tabelle210[[#This Row],[Verkehrsmittel]]="Bahn",Tabelle210[[#This Row],[Anzahl Studierende ]]*Tabelle210[[#This Row],[Entfernung (km) gesamt]],0)</f>
        <v>0</v>
      </c>
      <c r="M9">
        <f>IF(Tabelle210[[#This Row],[Verkehrsmittel]]="PKW",Tabelle210[[#This Row],[Anzahl Studierende ]]*Tabelle210[[#This Row],[Entfernung (km) gesamt]],0)</f>
        <v>0</v>
      </c>
      <c r="N9">
        <f>IF(Tabelle210[[#This Row],[Verkehrsmittel]]="Flug", IF(AND(Tabelle210[[#This Row],[Entfernung (km) einfach]]&lt;500),Tabelle210[[#This Row],[Entfernung (km) gesamt]]), 0)*Tabelle210[[#This Row],[Anzahl Studierende ]]</f>
        <v>0</v>
      </c>
      <c r="O9">
        <f>IF(Tabelle210[[#This Row],[Verkehrsmittel]]="Flug", IF(AND(Tabelle210[[#This Row],[Entfernung (km) einfach]]&gt;500,Tabelle210[[#This Row],[Entfernung (km) einfach]]&lt;1000),Tabelle210[[#This Row],[Entfernung (km) gesamt]], 0), 0)*Tabelle210[[#This Row],[Anzahl Studierende ]]</f>
        <v>0</v>
      </c>
      <c r="P9">
        <f>IF(Tabelle210[[#This Row],[Verkehrsmittel]]="Flug", IF(AND(Tabelle210[[#This Row],[Entfernung (km) einfach]]&gt;1000,Tabelle210[[#This Row],[Entfernung (km) einfach]]&lt;2000),Tabelle210[[#This Row],[Entfernung (km) gesamt]], 0), 0)*Tabelle210[[#This Row],[Anzahl Studierende ]]</f>
        <v>0</v>
      </c>
      <c r="Q9">
        <f>IF(Tabelle210[[#This Row],[Verkehrsmittel]]="Flug", IF(AND(Tabelle210[[#This Row],[Entfernung (km) einfach]]&gt;2000,Tabelle210[[#This Row],[Entfernung (km) einfach]]&lt;5000),Tabelle210[[#This Row],[Entfernung (km) gesamt]], 0), 0)*Tabelle210[[#This Row],[Anzahl Studierende ]]</f>
        <v>0</v>
      </c>
      <c r="R9">
        <f>IF(Tabelle210[[#This Row],[Verkehrsmittel]]="Flug", IF(AND(Tabelle210[[#This Row],[Entfernung (km) einfach]]&gt;5000,Tabelle210[[#This Row],[Entfernung (km) einfach]]&lt;10000),Tabelle210[[#This Row],[Entfernung (km) gesamt]], 0), 0)*Tabelle210[[#This Row],[Anzahl Studierende ]]</f>
        <v>0</v>
      </c>
      <c r="S9">
        <f>IF(Tabelle210[[#This Row],[Verkehrsmittel]]="Flug", IF(AND(Tabelle210[[#This Row],[Entfernung (km) einfach]]&gt;10000),Tabelle210[[#This Row],[Entfernung (km) gesamt]]), 0)*Tabelle210[[#This Row],[Anzahl Studierende ]]</f>
        <v>0</v>
      </c>
      <c r="T9">
        <f>IF(Tabelle210[[#This Row],[Verkehrsmittel]]="Motorrad",Tabelle210[[#This Row],[Entfernung (km) gesamt]],0)*Tabelle210[[#This Row],[Anzahl Studierende ]]</f>
        <v>0</v>
      </c>
      <c r="U9">
        <f>IF(Tabelle210[[#This Row],[Verkehrsmittel]]="Straßen-, S-, U-Bahn",Tabelle210[[#This Row],[Entfernung (km) gesamt]],0)*Tabelle210[[#This Row],[Anzahl Studierende ]]</f>
        <v>0</v>
      </c>
      <c r="V9">
        <f>IF(Tabelle210[[#This Row],[Verkehrsmittel]]="Fahrrad",Tabelle210[[#This Row],[Entfernung (km) gesamt]],0)*Tabelle210[[#This Row],[Anzahl Studierende ]]</f>
        <v>0</v>
      </c>
    </row>
    <row r="10" spans="1:22">
      <c r="B10" s="159"/>
      <c r="C10" s="111"/>
      <c r="D10" s="160"/>
      <c r="E10" s="111"/>
      <c r="F10" s="111"/>
      <c r="G10" s="111"/>
      <c r="H10" s="111">
        <f>Tabelle210[[#This Row],[Entfernung (km) einfach]]*2</f>
        <v>0</v>
      </c>
      <c r="I10" s="111"/>
      <c r="J10" s="140"/>
      <c r="K10">
        <f>IF(Tabelle210[[#This Row],[Verkehrsmittel]]="Bus",Tabelle210[[#This Row],[Entfernung (km) gesamt]],0)*Tabelle210[[#This Row],[Anzahl Studierende ]]</f>
        <v>0</v>
      </c>
      <c r="L10">
        <f>IF(Tabelle210[[#This Row],[Verkehrsmittel]]="Bahn",Tabelle210[[#This Row],[Anzahl Studierende ]]*Tabelle210[[#This Row],[Entfernung (km) gesamt]],0)</f>
        <v>0</v>
      </c>
      <c r="M10">
        <f>IF(Tabelle210[[#This Row],[Verkehrsmittel]]="PKW",Tabelle210[[#This Row],[Anzahl Studierende ]]*Tabelle210[[#This Row],[Entfernung (km) gesamt]],0)</f>
        <v>0</v>
      </c>
      <c r="N10">
        <f>IF(Tabelle210[[#This Row],[Verkehrsmittel]]="Flug", IF(AND(Tabelle210[[#This Row],[Entfernung (km) einfach]]&lt;500),Tabelle210[[#This Row],[Entfernung (km) gesamt]]), 0)*Tabelle210[[#This Row],[Anzahl Studierende ]]</f>
        <v>0</v>
      </c>
      <c r="O10">
        <f>IF(Tabelle210[[#This Row],[Verkehrsmittel]]="Flug", IF(AND(Tabelle210[[#This Row],[Entfernung (km) einfach]]&gt;500,Tabelle210[[#This Row],[Entfernung (km) einfach]]&lt;1000),Tabelle210[[#This Row],[Entfernung (km) gesamt]], 0), 0)*Tabelle210[[#This Row],[Anzahl Studierende ]]</f>
        <v>0</v>
      </c>
      <c r="P10">
        <f>IF(Tabelle210[[#This Row],[Verkehrsmittel]]="Flug", IF(AND(Tabelle210[[#This Row],[Entfernung (km) einfach]]&gt;1000,Tabelle210[[#This Row],[Entfernung (km) einfach]]&lt;2000),Tabelle210[[#This Row],[Entfernung (km) gesamt]], 0), 0)*Tabelle210[[#This Row],[Anzahl Studierende ]]</f>
        <v>0</v>
      </c>
      <c r="Q10">
        <f>IF(Tabelle210[[#This Row],[Verkehrsmittel]]="Flug", IF(AND(Tabelle210[[#This Row],[Entfernung (km) einfach]]&gt;2000,Tabelle210[[#This Row],[Entfernung (km) einfach]]&lt;5000),Tabelle210[[#This Row],[Entfernung (km) gesamt]], 0), 0)*Tabelle210[[#This Row],[Anzahl Studierende ]]</f>
        <v>0</v>
      </c>
      <c r="R10">
        <f>IF(Tabelle210[[#This Row],[Verkehrsmittel]]="Flug", IF(AND(Tabelle210[[#This Row],[Entfernung (km) einfach]]&gt;5000,Tabelle210[[#This Row],[Entfernung (km) einfach]]&lt;10000),Tabelle210[[#This Row],[Entfernung (km) gesamt]], 0), 0)*Tabelle210[[#This Row],[Anzahl Studierende ]]</f>
        <v>0</v>
      </c>
      <c r="S10">
        <f>IF(Tabelle210[[#This Row],[Verkehrsmittel]]="Flug", IF(AND(Tabelle210[[#This Row],[Entfernung (km) einfach]]&gt;10000),Tabelle210[[#This Row],[Entfernung (km) gesamt]]), 0)*Tabelle210[[#This Row],[Anzahl Studierende ]]</f>
        <v>0</v>
      </c>
      <c r="T10">
        <f>IF(Tabelle210[[#This Row],[Verkehrsmittel]]="Motorrad",Tabelle210[[#This Row],[Entfernung (km) gesamt]],0)*Tabelle210[[#This Row],[Anzahl Studierende ]]</f>
        <v>0</v>
      </c>
      <c r="U10">
        <f>IF(Tabelle210[[#This Row],[Verkehrsmittel]]="Straßen-, S-, U-Bahn",Tabelle210[[#This Row],[Entfernung (km) gesamt]],0)*Tabelle210[[#This Row],[Anzahl Studierende ]]</f>
        <v>0</v>
      </c>
      <c r="V10">
        <f>IF(Tabelle210[[#This Row],[Verkehrsmittel]]="Fahrrad",Tabelle210[[#This Row],[Entfernung (km) gesamt]],0)*Tabelle210[[#This Row],[Anzahl Studierende ]]</f>
        <v>0</v>
      </c>
    </row>
    <row r="11" spans="1:22">
      <c r="B11" s="159"/>
      <c r="C11" s="111"/>
      <c r="D11" s="160"/>
      <c r="E11" s="111"/>
      <c r="F11" s="111"/>
      <c r="G11" s="111"/>
      <c r="H11" s="111">
        <f>Tabelle210[[#This Row],[Entfernung (km) einfach]]*2</f>
        <v>0</v>
      </c>
      <c r="I11" s="111"/>
      <c r="J11" s="140"/>
      <c r="K11">
        <f>IF(Tabelle210[[#This Row],[Verkehrsmittel]]="Bus",Tabelle210[[#This Row],[Entfernung (km) gesamt]],0)*Tabelle210[[#This Row],[Anzahl Studierende ]]</f>
        <v>0</v>
      </c>
      <c r="L11">
        <f>IF(Tabelle210[[#This Row],[Verkehrsmittel]]="Bahn",Tabelle210[[#This Row],[Anzahl Studierende ]]*Tabelle210[[#This Row],[Entfernung (km) gesamt]],0)</f>
        <v>0</v>
      </c>
      <c r="M11">
        <f>IF(Tabelle210[[#This Row],[Verkehrsmittel]]="PKW",Tabelle210[[#This Row],[Anzahl Studierende ]]*Tabelle210[[#This Row],[Entfernung (km) gesamt]],0)</f>
        <v>0</v>
      </c>
      <c r="N11">
        <f>IF(Tabelle210[[#This Row],[Verkehrsmittel]]="Flug", IF(AND(Tabelle210[[#This Row],[Entfernung (km) einfach]]&lt;500),Tabelle210[[#This Row],[Entfernung (km) gesamt]]), 0)*Tabelle210[[#This Row],[Anzahl Studierende ]]</f>
        <v>0</v>
      </c>
      <c r="O11">
        <f>IF(Tabelle210[[#This Row],[Verkehrsmittel]]="Flug", IF(AND(Tabelle210[[#This Row],[Entfernung (km) einfach]]&gt;500,Tabelle210[[#This Row],[Entfernung (km) einfach]]&lt;1000),Tabelle210[[#This Row],[Entfernung (km) gesamt]], 0), 0)*Tabelle210[[#This Row],[Anzahl Studierende ]]</f>
        <v>0</v>
      </c>
      <c r="P11">
        <f>IF(Tabelle210[[#This Row],[Verkehrsmittel]]="Flug", IF(AND(Tabelle210[[#This Row],[Entfernung (km) einfach]]&gt;1000,Tabelle210[[#This Row],[Entfernung (km) einfach]]&lt;2000),Tabelle210[[#This Row],[Entfernung (km) gesamt]], 0), 0)*Tabelle210[[#This Row],[Anzahl Studierende ]]</f>
        <v>0</v>
      </c>
      <c r="Q11">
        <f>IF(Tabelle210[[#This Row],[Verkehrsmittel]]="Flug", IF(AND(Tabelle210[[#This Row],[Entfernung (km) einfach]]&gt;2000,Tabelle210[[#This Row],[Entfernung (km) einfach]]&lt;5000),Tabelle210[[#This Row],[Entfernung (km) gesamt]], 0), 0)*Tabelle210[[#This Row],[Anzahl Studierende ]]</f>
        <v>0</v>
      </c>
      <c r="R11">
        <f>IF(Tabelle210[[#This Row],[Verkehrsmittel]]="Flug", IF(AND(Tabelle210[[#This Row],[Entfernung (km) einfach]]&gt;5000,Tabelle210[[#This Row],[Entfernung (km) einfach]]&lt;10000),Tabelle210[[#This Row],[Entfernung (km) gesamt]], 0), 0)*Tabelle210[[#This Row],[Anzahl Studierende ]]</f>
        <v>0</v>
      </c>
      <c r="S11">
        <f>IF(Tabelle210[[#This Row],[Verkehrsmittel]]="Flug", IF(AND(Tabelle210[[#This Row],[Entfernung (km) einfach]]&gt;10000),Tabelle210[[#This Row],[Entfernung (km) gesamt]]), 0)*Tabelle210[[#This Row],[Anzahl Studierende ]]</f>
        <v>0</v>
      </c>
      <c r="T11">
        <f>IF(Tabelle210[[#This Row],[Verkehrsmittel]]="Motorrad",Tabelle210[[#This Row],[Entfernung (km) gesamt]],0)*Tabelle210[[#This Row],[Anzahl Studierende ]]</f>
        <v>0</v>
      </c>
      <c r="U11">
        <f>IF(Tabelle210[[#This Row],[Verkehrsmittel]]="Straßen-, S-, U-Bahn",Tabelle210[[#This Row],[Entfernung (km) gesamt]],0)*Tabelle210[[#This Row],[Anzahl Studierende ]]</f>
        <v>0</v>
      </c>
      <c r="V11">
        <f>IF(Tabelle210[[#This Row],[Verkehrsmittel]]="Fahrrad",Tabelle210[[#This Row],[Entfernung (km) gesamt]],0)*Tabelle210[[#This Row],[Anzahl Studierende ]]</f>
        <v>0</v>
      </c>
    </row>
    <row r="12" spans="1:22">
      <c r="B12" s="159"/>
      <c r="C12" s="111"/>
      <c r="D12" s="160"/>
      <c r="E12" s="111"/>
      <c r="F12" s="111"/>
      <c r="G12" s="111"/>
      <c r="H12" s="111">
        <f>Tabelle210[[#This Row],[Entfernung (km) einfach]]*2</f>
        <v>0</v>
      </c>
      <c r="I12" s="111"/>
      <c r="J12" s="140"/>
      <c r="K12">
        <f>IF(Tabelle210[[#This Row],[Verkehrsmittel]]="Bus",Tabelle210[[#This Row],[Entfernung (km) gesamt]],0)*Tabelle210[[#This Row],[Anzahl Studierende ]]</f>
        <v>0</v>
      </c>
      <c r="L12">
        <f>IF(Tabelle210[[#This Row],[Verkehrsmittel]]="Bahn",Tabelle210[[#This Row],[Anzahl Studierende ]]*Tabelle210[[#This Row],[Entfernung (km) gesamt]],0)</f>
        <v>0</v>
      </c>
      <c r="M12">
        <f>IF(Tabelle210[[#This Row],[Verkehrsmittel]]="PKW",Tabelle210[[#This Row],[Anzahl Studierende ]]*Tabelle210[[#This Row],[Entfernung (km) gesamt]],0)</f>
        <v>0</v>
      </c>
      <c r="N12">
        <f>IF(Tabelle210[[#This Row],[Verkehrsmittel]]="Flug", IF(AND(Tabelle210[[#This Row],[Entfernung (km) einfach]]&lt;500),Tabelle210[[#This Row],[Entfernung (km) gesamt]]), 0)*Tabelle210[[#This Row],[Anzahl Studierende ]]</f>
        <v>0</v>
      </c>
      <c r="O12">
        <f>IF(Tabelle210[[#This Row],[Verkehrsmittel]]="Flug", IF(AND(Tabelle210[[#This Row],[Entfernung (km) einfach]]&gt;500,Tabelle210[[#This Row],[Entfernung (km) einfach]]&lt;1000),Tabelle210[[#This Row],[Entfernung (km) gesamt]], 0), 0)*Tabelle210[[#This Row],[Anzahl Studierende ]]</f>
        <v>0</v>
      </c>
      <c r="P12">
        <f>IF(Tabelle210[[#This Row],[Verkehrsmittel]]="Flug", IF(AND(Tabelle210[[#This Row],[Entfernung (km) einfach]]&gt;1000,Tabelle210[[#This Row],[Entfernung (km) einfach]]&lt;2000),Tabelle210[[#This Row],[Entfernung (km) gesamt]], 0), 0)*Tabelle210[[#This Row],[Anzahl Studierende ]]</f>
        <v>0</v>
      </c>
      <c r="Q12">
        <f>IF(Tabelle210[[#This Row],[Verkehrsmittel]]="Flug", IF(AND(Tabelle210[[#This Row],[Entfernung (km) einfach]]&gt;2000,Tabelle210[[#This Row],[Entfernung (km) einfach]]&lt;5000),Tabelle210[[#This Row],[Entfernung (km) gesamt]], 0), 0)*Tabelle210[[#This Row],[Anzahl Studierende ]]</f>
        <v>0</v>
      </c>
      <c r="R12">
        <f>IF(Tabelle210[[#This Row],[Verkehrsmittel]]="Flug", IF(AND(Tabelle210[[#This Row],[Entfernung (km) einfach]]&gt;5000,Tabelle210[[#This Row],[Entfernung (km) einfach]]&lt;10000),Tabelle210[[#This Row],[Entfernung (km) gesamt]], 0), 0)*Tabelle210[[#This Row],[Anzahl Studierende ]]</f>
        <v>0</v>
      </c>
      <c r="S12">
        <f>IF(Tabelle210[[#This Row],[Verkehrsmittel]]="Flug", IF(AND(Tabelle210[[#This Row],[Entfernung (km) einfach]]&gt;10000),Tabelle210[[#This Row],[Entfernung (km) gesamt]]), 0)*Tabelle210[[#This Row],[Anzahl Studierende ]]</f>
        <v>0</v>
      </c>
      <c r="T12">
        <f>IF(Tabelle210[[#This Row],[Verkehrsmittel]]="Motorrad",Tabelle210[[#This Row],[Entfernung (km) gesamt]],0)*Tabelle210[[#This Row],[Anzahl Studierende ]]</f>
        <v>0</v>
      </c>
      <c r="U12">
        <f>IF(Tabelle210[[#This Row],[Verkehrsmittel]]="Straßen-, S-, U-Bahn",Tabelle210[[#This Row],[Entfernung (km) gesamt]],0)*Tabelle210[[#This Row],[Anzahl Studierende ]]</f>
        <v>0</v>
      </c>
      <c r="V12">
        <f>IF(Tabelle210[[#This Row],[Verkehrsmittel]]="Fahrrad",Tabelle210[[#This Row],[Entfernung (km) gesamt]],0)*Tabelle210[[#This Row],[Anzahl Studierende ]]</f>
        <v>0</v>
      </c>
    </row>
    <row r="13" spans="1:22">
      <c r="B13" s="159"/>
      <c r="C13" s="111"/>
      <c r="D13" s="160"/>
      <c r="E13" s="111"/>
      <c r="F13" s="111"/>
      <c r="G13" s="111"/>
      <c r="H13" s="111">
        <f>Tabelle210[[#This Row],[Entfernung (km) einfach]]*2</f>
        <v>0</v>
      </c>
      <c r="I13" s="111"/>
      <c r="J13" s="140"/>
      <c r="K13">
        <f>IF(Tabelle210[[#This Row],[Verkehrsmittel]]="Bus",Tabelle210[[#This Row],[Entfernung (km) gesamt]],0)*Tabelle210[[#This Row],[Anzahl Studierende ]]</f>
        <v>0</v>
      </c>
      <c r="L13">
        <f>IF(Tabelle210[[#This Row],[Verkehrsmittel]]="Bahn",Tabelle210[[#This Row],[Anzahl Studierende ]]*Tabelle210[[#This Row],[Entfernung (km) gesamt]],0)</f>
        <v>0</v>
      </c>
      <c r="M13">
        <f>IF(Tabelle210[[#This Row],[Verkehrsmittel]]="PKW",Tabelle210[[#This Row],[Anzahl Studierende ]]*Tabelle210[[#This Row],[Entfernung (km) gesamt]],0)</f>
        <v>0</v>
      </c>
      <c r="N13">
        <f>IF(Tabelle210[[#This Row],[Verkehrsmittel]]="Flug", IF(AND(Tabelle210[[#This Row],[Entfernung (km) einfach]]&lt;500),Tabelle210[[#This Row],[Entfernung (km) gesamt]]), 0)*Tabelle210[[#This Row],[Anzahl Studierende ]]</f>
        <v>0</v>
      </c>
      <c r="O13">
        <f>IF(Tabelle210[[#This Row],[Verkehrsmittel]]="Flug", IF(AND(Tabelle210[[#This Row],[Entfernung (km) einfach]]&gt;500,Tabelle210[[#This Row],[Entfernung (km) einfach]]&lt;1000),Tabelle210[[#This Row],[Entfernung (km) gesamt]], 0), 0)*Tabelle210[[#This Row],[Anzahl Studierende ]]</f>
        <v>0</v>
      </c>
      <c r="P13">
        <f>IF(Tabelle210[[#This Row],[Verkehrsmittel]]="Flug", IF(AND(Tabelle210[[#This Row],[Entfernung (km) einfach]]&gt;1000,Tabelle210[[#This Row],[Entfernung (km) einfach]]&lt;2000),Tabelle210[[#This Row],[Entfernung (km) gesamt]], 0), 0)*Tabelle210[[#This Row],[Anzahl Studierende ]]</f>
        <v>0</v>
      </c>
      <c r="Q13">
        <f>IF(Tabelle210[[#This Row],[Verkehrsmittel]]="Flug", IF(AND(Tabelle210[[#This Row],[Entfernung (km) einfach]]&gt;2000,Tabelle210[[#This Row],[Entfernung (km) einfach]]&lt;5000),Tabelle210[[#This Row],[Entfernung (km) gesamt]], 0), 0)*Tabelle210[[#This Row],[Anzahl Studierende ]]</f>
        <v>0</v>
      </c>
      <c r="R13">
        <f>IF(Tabelle210[[#This Row],[Verkehrsmittel]]="Flug", IF(AND(Tabelle210[[#This Row],[Entfernung (km) einfach]]&gt;5000,Tabelle210[[#This Row],[Entfernung (km) einfach]]&lt;10000),Tabelle210[[#This Row],[Entfernung (km) gesamt]], 0), 0)*Tabelle210[[#This Row],[Anzahl Studierende ]]</f>
        <v>0</v>
      </c>
      <c r="S13">
        <f>IF(Tabelle210[[#This Row],[Verkehrsmittel]]="Flug", IF(AND(Tabelle210[[#This Row],[Entfernung (km) einfach]]&gt;10000),Tabelle210[[#This Row],[Entfernung (km) gesamt]]), 0)*Tabelle210[[#This Row],[Anzahl Studierende ]]</f>
        <v>0</v>
      </c>
      <c r="T13">
        <f>IF(Tabelle210[[#This Row],[Verkehrsmittel]]="Motorrad",Tabelle210[[#This Row],[Entfernung (km) gesamt]],0)*Tabelle210[[#This Row],[Anzahl Studierende ]]</f>
        <v>0</v>
      </c>
      <c r="U13">
        <f>IF(Tabelle210[[#This Row],[Verkehrsmittel]]="Straßen-, S-, U-Bahn",Tabelle210[[#This Row],[Entfernung (km) gesamt]],0)*Tabelle210[[#This Row],[Anzahl Studierende ]]</f>
        <v>0</v>
      </c>
      <c r="V13">
        <f>IF(Tabelle210[[#This Row],[Verkehrsmittel]]="Fahrrad",Tabelle210[[#This Row],[Entfernung (km) gesamt]],0)*Tabelle210[[#This Row],[Anzahl Studierende ]]</f>
        <v>0</v>
      </c>
    </row>
    <row r="14" spans="1:22">
      <c r="B14" s="159"/>
      <c r="C14" s="111"/>
      <c r="D14" s="160"/>
      <c r="E14" s="111"/>
      <c r="F14" s="111"/>
      <c r="G14" s="111"/>
      <c r="H14" s="111">
        <f>Tabelle210[[#This Row],[Entfernung (km) einfach]]*2</f>
        <v>0</v>
      </c>
      <c r="I14" s="111"/>
      <c r="J14" s="140"/>
      <c r="K14">
        <f>IF(Tabelle210[[#This Row],[Verkehrsmittel]]="Bus",Tabelle210[[#This Row],[Entfernung (km) gesamt]],0)*Tabelle210[[#This Row],[Anzahl Studierende ]]</f>
        <v>0</v>
      </c>
      <c r="L14">
        <f>IF(Tabelle210[[#This Row],[Verkehrsmittel]]="Bahn",Tabelle210[[#This Row],[Anzahl Studierende ]]*Tabelle210[[#This Row],[Entfernung (km) gesamt]],0)</f>
        <v>0</v>
      </c>
      <c r="M14">
        <f>IF(Tabelle210[[#This Row],[Verkehrsmittel]]="PKW",Tabelle210[[#This Row],[Anzahl Studierende ]]*Tabelle210[[#This Row],[Entfernung (km) gesamt]],0)</f>
        <v>0</v>
      </c>
      <c r="N14">
        <f>IF(Tabelle210[[#This Row],[Verkehrsmittel]]="Flug", IF(AND(Tabelle210[[#This Row],[Entfernung (km) einfach]]&lt;500),Tabelle210[[#This Row],[Entfernung (km) gesamt]]), 0)*Tabelle210[[#This Row],[Anzahl Studierende ]]</f>
        <v>0</v>
      </c>
      <c r="O14">
        <f>IF(Tabelle210[[#This Row],[Verkehrsmittel]]="Flug", IF(AND(Tabelle210[[#This Row],[Entfernung (km) einfach]]&gt;500,Tabelle210[[#This Row],[Entfernung (km) einfach]]&lt;1000),Tabelle210[[#This Row],[Entfernung (km) gesamt]], 0), 0)*Tabelle210[[#This Row],[Anzahl Studierende ]]</f>
        <v>0</v>
      </c>
      <c r="P14">
        <f>IF(Tabelle210[[#This Row],[Verkehrsmittel]]="Flug", IF(AND(Tabelle210[[#This Row],[Entfernung (km) einfach]]&gt;1000,Tabelle210[[#This Row],[Entfernung (km) einfach]]&lt;2000),Tabelle210[[#This Row],[Entfernung (km) gesamt]], 0), 0)*Tabelle210[[#This Row],[Anzahl Studierende ]]</f>
        <v>0</v>
      </c>
      <c r="Q14">
        <f>IF(Tabelle210[[#This Row],[Verkehrsmittel]]="Flug", IF(AND(Tabelle210[[#This Row],[Entfernung (km) einfach]]&gt;2000,Tabelle210[[#This Row],[Entfernung (km) einfach]]&lt;5000),Tabelle210[[#This Row],[Entfernung (km) gesamt]], 0), 0)*Tabelle210[[#This Row],[Anzahl Studierende ]]</f>
        <v>0</v>
      </c>
      <c r="R14">
        <f>IF(Tabelle210[[#This Row],[Verkehrsmittel]]="Flug", IF(AND(Tabelle210[[#This Row],[Entfernung (km) einfach]]&gt;5000,Tabelle210[[#This Row],[Entfernung (km) einfach]]&lt;10000),Tabelle210[[#This Row],[Entfernung (km) gesamt]], 0), 0)*Tabelle210[[#This Row],[Anzahl Studierende ]]</f>
        <v>0</v>
      </c>
      <c r="S14">
        <f>IF(Tabelle210[[#This Row],[Verkehrsmittel]]="Flug", IF(AND(Tabelle210[[#This Row],[Entfernung (km) einfach]]&gt;10000),Tabelle210[[#This Row],[Entfernung (km) gesamt]]), 0)*Tabelle210[[#This Row],[Anzahl Studierende ]]</f>
        <v>0</v>
      </c>
      <c r="T14">
        <f>IF(Tabelle210[[#This Row],[Verkehrsmittel]]="Motorrad",Tabelle210[[#This Row],[Entfernung (km) gesamt]],0)*Tabelle210[[#This Row],[Anzahl Studierende ]]</f>
        <v>0</v>
      </c>
      <c r="U14">
        <f>IF(Tabelle210[[#This Row],[Verkehrsmittel]]="Straßen-, S-, U-Bahn",Tabelle210[[#This Row],[Entfernung (km) gesamt]],0)*Tabelle210[[#This Row],[Anzahl Studierende ]]</f>
        <v>0</v>
      </c>
      <c r="V14">
        <f>IF(Tabelle210[[#This Row],[Verkehrsmittel]]="Fahrrad",Tabelle210[[#This Row],[Entfernung (km) gesamt]],0)*Tabelle210[[#This Row],[Anzahl Studierende ]]</f>
        <v>0</v>
      </c>
    </row>
    <row r="15" spans="1:22">
      <c r="B15" s="159"/>
      <c r="C15" s="111"/>
      <c r="D15" s="160"/>
      <c r="E15" s="111"/>
      <c r="F15" s="111"/>
      <c r="G15" s="111"/>
      <c r="H15" s="111">
        <f>Tabelle210[[#This Row],[Entfernung (km) einfach]]*2</f>
        <v>0</v>
      </c>
      <c r="I15" s="111"/>
      <c r="J15" s="140"/>
      <c r="K15">
        <f>IF(Tabelle210[[#This Row],[Verkehrsmittel]]="Bus",Tabelle210[[#This Row],[Entfernung (km) gesamt]],0)*Tabelle210[[#This Row],[Anzahl Studierende ]]</f>
        <v>0</v>
      </c>
      <c r="L15">
        <f>IF(Tabelle210[[#This Row],[Verkehrsmittel]]="Bahn",Tabelle210[[#This Row],[Anzahl Studierende ]]*Tabelle210[[#This Row],[Entfernung (km) gesamt]],0)</f>
        <v>0</v>
      </c>
      <c r="M15">
        <f>IF(Tabelle210[[#This Row],[Verkehrsmittel]]="PKW",Tabelle210[[#This Row],[Anzahl Studierende ]]*Tabelle210[[#This Row],[Entfernung (km) gesamt]],0)</f>
        <v>0</v>
      </c>
      <c r="N15">
        <f>IF(Tabelle210[[#This Row],[Verkehrsmittel]]="Flug", IF(AND(Tabelle210[[#This Row],[Entfernung (km) einfach]]&lt;500),Tabelle210[[#This Row],[Entfernung (km) gesamt]]), 0)*Tabelle210[[#This Row],[Anzahl Studierende ]]</f>
        <v>0</v>
      </c>
      <c r="O15">
        <f>IF(Tabelle210[[#This Row],[Verkehrsmittel]]="Flug", IF(AND(Tabelle210[[#This Row],[Entfernung (km) einfach]]&gt;500,Tabelle210[[#This Row],[Entfernung (km) einfach]]&lt;1000),Tabelle210[[#This Row],[Entfernung (km) gesamt]], 0), 0)*Tabelle210[[#This Row],[Anzahl Studierende ]]</f>
        <v>0</v>
      </c>
      <c r="P15">
        <f>IF(Tabelle210[[#This Row],[Verkehrsmittel]]="Flug", IF(AND(Tabelle210[[#This Row],[Entfernung (km) einfach]]&gt;1000,Tabelle210[[#This Row],[Entfernung (km) einfach]]&lt;2000),Tabelle210[[#This Row],[Entfernung (km) gesamt]], 0), 0)*Tabelle210[[#This Row],[Anzahl Studierende ]]</f>
        <v>0</v>
      </c>
      <c r="Q15">
        <f>IF(Tabelle210[[#This Row],[Verkehrsmittel]]="Flug", IF(AND(Tabelle210[[#This Row],[Entfernung (km) einfach]]&gt;2000,Tabelle210[[#This Row],[Entfernung (km) einfach]]&lt;5000),Tabelle210[[#This Row],[Entfernung (km) gesamt]], 0), 0)*Tabelle210[[#This Row],[Anzahl Studierende ]]</f>
        <v>0</v>
      </c>
      <c r="R15">
        <f>IF(Tabelle210[[#This Row],[Verkehrsmittel]]="Flug", IF(AND(Tabelle210[[#This Row],[Entfernung (km) einfach]]&gt;5000,Tabelle210[[#This Row],[Entfernung (km) einfach]]&lt;10000),Tabelle210[[#This Row],[Entfernung (km) gesamt]], 0), 0)*Tabelle210[[#This Row],[Anzahl Studierende ]]</f>
        <v>0</v>
      </c>
      <c r="S15">
        <f>IF(Tabelle210[[#This Row],[Verkehrsmittel]]="Flug", IF(AND(Tabelle210[[#This Row],[Entfernung (km) einfach]]&gt;10000),Tabelle210[[#This Row],[Entfernung (km) gesamt]]), 0)*Tabelle210[[#This Row],[Anzahl Studierende ]]</f>
        <v>0</v>
      </c>
      <c r="T15">
        <f>IF(Tabelle210[[#This Row],[Verkehrsmittel]]="Motorrad",Tabelle210[[#This Row],[Entfernung (km) gesamt]],0)*Tabelle210[[#This Row],[Anzahl Studierende ]]</f>
        <v>0</v>
      </c>
      <c r="U15">
        <f>IF(Tabelle210[[#This Row],[Verkehrsmittel]]="Straßen-, S-, U-Bahn",Tabelle210[[#This Row],[Entfernung (km) gesamt]],0)*Tabelle210[[#This Row],[Anzahl Studierende ]]</f>
        <v>0</v>
      </c>
      <c r="V15">
        <f>IF(Tabelle210[[#This Row],[Verkehrsmittel]]="Fahrrad",Tabelle210[[#This Row],[Entfernung (km) gesamt]],0)*Tabelle210[[#This Row],[Anzahl Studierende ]]</f>
        <v>0</v>
      </c>
    </row>
    <row r="16" spans="1:22">
      <c r="B16" s="159"/>
      <c r="C16" s="111"/>
      <c r="D16" s="160"/>
      <c r="E16" s="111"/>
      <c r="F16" s="111"/>
      <c r="G16" s="111"/>
      <c r="H16" s="111">
        <f>Tabelle210[[#This Row],[Entfernung (km) einfach]]*2</f>
        <v>0</v>
      </c>
      <c r="I16" s="111"/>
      <c r="J16" s="140"/>
      <c r="K16">
        <f>IF(Tabelle210[[#This Row],[Verkehrsmittel]]="Bus",Tabelle210[[#This Row],[Entfernung (km) gesamt]],0)*Tabelle210[[#This Row],[Anzahl Studierende ]]</f>
        <v>0</v>
      </c>
      <c r="L16">
        <f>IF(Tabelle210[[#This Row],[Verkehrsmittel]]="Bahn",Tabelle210[[#This Row],[Anzahl Studierende ]]*Tabelle210[[#This Row],[Entfernung (km) gesamt]],0)</f>
        <v>0</v>
      </c>
      <c r="M16">
        <f>IF(Tabelle210[[#This Row],[Verkehrsmittel]]="PKW",Tabelle210[[#This Row],[Anzahl Studierende ]]*Tabelle210[[#This Row],[Entfernung (km) gesamt]],0)</f>
        <v>0</v>
      </c>
      <c r="N16">
        <f>IF(Tabelle210[[#This Row],[Verkehrsmittel]]="Flug", IF(AND(Tabelle210[[#This Row],[Entfernung (km) einfach]]&lt;500),Tabelle210[[#This Row],[Entfernung (km) gesamt]]), 0)*Tabelle210[[#This Row],[Anzahl Studierende ]]</f>
        <v>0</v>
      </c>
      <c r="O16">
        <f>IF(Tabelle210[[#This Row],[Verkehrsmittel]]="Flug", IF(AND(Tabelle210[[#This Row],[Entfernung (km) einfach]]&gt;500,Tabelle210[[#This Row],[Entfernung (km) einfach]]&lt;1000),Tabelle210[[#This Row],[Entfernung (km) gesamt]], 0), 0)*Tabelle210[[#This Row],[Anzahl Studierende ]]</f>
        <v>0</v>
      </c>
      <c r="P16">
        <f>IF(Tabelle210[[#This Row],[Verkehrsmittel]]="Flug", IF(AND(Tabelle210[[#This Row],[Entfernung (km) einfach]]&gt;1000,Tabelle210[[#This Row],[Entfernung (km) einfach]]&lt;2000),Tabelle210[[#This Row],[Entfernung (km) gesamt]], 0), 0)*Tabelle210[[#This Row],[Anzahl Studierende ]]</f>
        <v>0</v>
      </c>
      <c r="Q16">
        <f>IF(Tabelle210[[#This Row],[Verkehrsmittel]]="Flug", IF(AND(Tabelle210[[#This Row],[Entfernung (km) einfach]]&gt;2000,Tabelle210[[#This Row],[Entfernung (km) einfach]]&lt;5000),Tabelle210[[#This Row],[Entfernung (km) gesamt]], 0), 0)*Tabelle210[[#This Row],[Anzahl Studierende ]]</f>
        <v>0</v>
      </c>
      <c r="R16">
        <f>IF(Tabelle210[[#This Row],[Verkehrsmittel]]="Flug", IF(AND(Tabelle210[[#This Row],[Entfernung (km) einfach]]&gt;5000,Tabelle210[[#This Row],[Entfernung (km) einfach]]&lt;10000),Tabelle210[[#This Row],[Entfernung (km) gesamt]], 0), 0)*Tabelle210[[#This Row],[Anzahl Studierende ]]</f>
        <v>0</v>
      </c>
      <c r="S16">
        <f>IF(Tabelle210[[#This Row],[Verkehrsmittel]]="Flug", IF(AND(Tabelle210[[#This Row],[Entfernung (km) einfach]]&gt;10000),Tabelle210[[#This Row],[Entfernung (km) gesamt]]), 0)*Tabelle210[[#This Row],[Anzahl Studierende ]]</f>
        <v>0</v>
      </c>
      <c r="T16">
        <f>IF(Tabelle210[[#This Row],[Verkehrsmittel]]="Motorrad",Tabelle210[[#This Row],[Entfernung (km) gesamt]],0)*Tabelle210[[#This Row],[Anzahl Studierende ]]</f>
        <v>0</v>
      </c>
      <c r="U16">
        <f>IF(Tabelle210[[#This Row],[Verkehrsmittel]]="Straßen-, S-, U-Bahn",Tabelle210[[#This Row],[Entfernung (km) gesamt]],0)*Tabelle210[[#This Row],[Anzahl Studierende ]]</f>
        <v>0</v>
      </c>
      <c r="V16">
        <f>IF(Tabelle210[[#This Row],[Verkehrsmittel]]="Fahrrad",Tabelle210[[#This Row],[Entfernung (km) gesamt]],0)*Tabelle210[[#This Row],[Anzahl Studierende ]]</f>
        <v>0</v>
      </c>
    </row>
    <row r="17" spans="2:22">
      <c r="B17" s="159"/>
      <c r="C17" s="111"/>
      <c r="D17" s="160"/>
      <c r="E17" s="111"/>
      <c r="F17" s="111"/>
      <c r="G17" s="111"/>
      <c r="H17" s="111">
        <f>Tabelle210[[#This Row],[Entfernung (km) einfach]]*2</f>
        <v>0</v>
      </c>
      <c r="I17" s="111"/>
      <c r="J17" s="140"/>
      <c r="K17">
        <f>IF(Tabelle210[[#This Row],[Verkehrsmittel]]="Bus",Tabelle210[[#This Row],[Entfernung (km) gesamt]],0)*Tabelle210[[#This Row],[Anzahl Studierende ]]</f>
        <v>0</v>
      </c>
      <c r="L17">
        <f>IF(Tabelle210[[#This Row],[Verkehrsmittel]]="Bahn",Tabelle210[[#This Row],[Anzahl Studierende ]]*Tabelle210[[#This Row],[Entfernung (km) gesamt]],0)</f>
        <v>0</v>
      </c>
      <c r="M17">
        <f>IF(Tabelle210[[#This Row],[Verkehrsmittel]]="PKW",Tabelle210[[#This Row],[Anzahl Studierende ]]*Tabelle210[[#This Row],[Entfernung (km) gesamt]],0)</f>
        <v>0</v>
      </c>
      <c r="N17">
        <f>IF(Tabelle210[[#This Row],[Verkehrsmittel]]="Flug", IF(AND(Tabelle210[[#This Row],[Entfernung (km) einfach]]&lt;500),Tabelle210[[#This Row],[Entfernung (km) gesamt]]), 0)*Tabelle210[[#This Row],[Anzahl Studierende ]]</f>
        <v>0</v>
      </c>
      <c r="O17">
        <f>IF(Tabelle210[[#This Row],[Verkehrsmittel]]="Flug", IF(AND(Tabelle210[[#This Row],[Entfernung (km) einfach]]&gt;500,Tabelle210[[#This Row],[Entfernung (km) einfach]]&lt;1000),Tabelle210[[#This Row],[Entfernung (km) gesamt]], 0), 0)*Tabelle210[[#This Row],[Anzahl Studierende ]]</f>
        <v>0</v>
      </c>
      <c r="P17">
        <f>IF(Tabelle210[[#This Row],[Verkehrsmittel]]="Flug", IF(AND(Tabelle210[[#This Row],[Entfernung (km) einfach]]&gt;1000,Tabelle210[[#This Row],[Entfernung (km) einfach]]&lt;2000),Tabelle210[[#This Row],[Entfernung (km) gesamt]], 0), 0)*Tabelle210[[#This Row],[Anzahl Studierende ]]</f>
        <v>0</v>
      </c>
      <c r="Q17">
        <f>IF(Tabelle210[[#This Row],[Verkehrsmittel]]="Flug", IF(AND(Tabelle210[[#This Row],[Entfernung (km) einfach]]&gt;2000,Tabelle210[[#This Row],[Entfernung (km) einfach]]&lt;5000),Tabelle210[[#This Row],[Entfernung (km) gesamt]], 0), 0)*Tabelle210[[#This Row],[Anzahl Studierende ]]</f>
        <v>0</v>
      </c>
      <c r="R17">
        <f>IF(Tabelle210[[#This Row],[Verkehrsmittel]]="Flug", IF(AND(Tabelle210[[#This Row],[Entfernung (km) einfach]]&gt;5000,Tabelle210[[#This Row],[Entfernung (km) einfach]]&lt;10000),Tabelle210[[#This Row],[Entfernung (km) gesamt]], 0), 0)*Tabelle210[[#This Row],[Anzahl Studierende ]]</f>
        <v>0</v>
      </c>
      <c r="S17">
        <f>IF(Tabelle210[[#This Row],[Verkehrsmittel]]="Flug", IF(AND(Tabelle210[[#This Row],[Entfernung (km) einfach]]&gt;10000),Tabelle210[[#This Row],[Entfernung (km) gesamt]]), 0)*Tabelle210[[#This Row],[Anzahl Studierende ]]</f>
        <v>0</v>
      </c>
      <c r="T17">
        <f>IF(Tabelle210[[#This Row],[Verkehrsmittel]]="Motorrad",Tabelle210[[#This Row],[Entfernung (km) gesamt]],0)*Tabelle210[[#This Row],[Anzahl Studierende ]]</f>
        <v>0</v>
      </c>
      <c r="U17">
        <f>IF(Tabelle210[[#This Row],[Verkehrsmittel]]="Straßen-, S-, U-Bahn",Tabelle210[[#This Row],[Entfernung (km) gesamt]],0)*Tabelle210[[#This Row],[Anzahl Studierende ]]</f>
        <v>0</v>
      </c>
      <c r="V17">
        <f>IF(Tabelle210[[#This Row],[Verkehrsmittel]]="Fahrrad",Tabelle210[[#This Row],[Entfernung (km) gesamt]],0)*Tabelle210[[#This Row],[Anzahl Studierende ]]</f>
        <v>0</v>
      </c>
    </row>
    <row r="18" spans="2:22">
      <c r="B18" s="159"/>
      <c r="C18" s="111"/>
      <c r="D18" s="160"/>
      <c r="E18" s="111"/>
      <c r="F18" s="111"/>
      <c r="G18" s="111"/>
      <c r="H18" s="111">
        <f>Tabelle210[[#This Row],[Entfernung (km) einfach]]*2</f>
        <v>0</v>
      </c>
      <c r="I18" s="111"/>
      <c r="J18" s="140"/>
      <c r="K18">
        <f>IF(Tabelle210[[#This Row],[Verkehrsmittel]]="Bus",Tabelle210[[#This Row],[Entfernung (km) gesamt]],0)*Tabelle210[[#This Row],[Anzahl Studierende ]]</f>
        <v>0</v>
      </c>
      <c r="L18">
        <f>IF(Tabelle210[[#This Row],[Verkehrsmittel]]="Bahn",Tabelle210[[#This Row],[Anzahl Studierende ]]*Tabelle210[[#This Row],[Entfernung (km) gesamt]],0)</f>
        <v>0</v>
      </c>
      <c r="M18">
        <f>IF(Tabelle210[[#This Row],[Verkehrsmittel]]="PKW",Tabelle210[[#This Row],[Anzahl Studierende ]]*Tabelle210[[#This Row],[Entfernung (km) gesamt]],0)</f>
        <v>0</v>
      </c>
      <c r="N18">
        <f>IF(Tabelle210[[#This Row],[Verkehrsmittel]]="Flug", IF(AND(Tabelle210[[#This Row],[Entfernung (km) einfach]]&lt;500),Tabelle210[[#This Row],[Entfernung (km) gesamt]]), 0)*Tabelle210[[#This Row],[Anzahl Studierende ]]</f>
        <v>0</v>
      </c>
      <c r="O18">
        <f>IF(Tabelle210[[#This Row],[Verkehrsmittel]]="Flug", IF(AND(Tabelle210[[#This Row],[Entfernung (km) einfach]]&gt;500,Tabelle210[[#This Row],[Entfernung (km) einfach]]&lt;1000),Tabelle210[[#This Row],[Entfernung (km) gesamt]], 0), 0)*Tabelle210[[#This Row],[Anzahl Studierende ]]</f>
        <v>0</v>
      </c>
      <c r="P18">
        <f>IF(Tabelle210[[#This Row],[Verkehrsmittel]]="Flug", IF(AND(Tabelle210[[#This Row],[Entfernung (km) einfach]]&gt;1000,Tabelle210[[#This Row],[Entfernung (km) einfach]]&lt;2000),Tabelle210[[#This Row],[Entfernung (km) gesamt]], 0), 0)*Tabelle210[[#This Row],[Anzahl Studierende ]]</f>
        <v>0</v>
      </c>
      <c r="Q18">
        <f>IF(Tabelle210[[#This Row],[Verkehrsmittel]]="Flug", IF(AND(Tabelle210[[#This Row],[Entfernung (km) einfach]]&gt;2000,Tabelle210[[#This Row],[Entfernung (km) einfach]]&lt;5000),Tabelle210[[#This Row],[Entfernung (km) gesamt]], 0), 0)*Tabelle210[[#This Row],[Anzahl Studierende ]]</f>
        <v>0</v>
      </c>
      <c r="R18">
        <f>IF(Tabelle210[[#This Row],[Verkehrsmittel]]="Flug", IF(AND(Tabelle210[[#This Row],[Entfernung (km) einfach]]&gt;5000,Tabelle210[[#This Row],[Entfernung (km) einfach]]&lt;10000),Tabelle210[[#This Row],[Entfernung (km) gesamt]], 0), 0)*Tabelle210[[#This Row],[Anzahl Studierende ]]</f>
        <v>0</v>
      </c>
      <c r="S18">
        <f>IF(Tabelle210[[#This Row],[Verkehrsmittel]]="Flug", IF(AND(Tabelle210[[#This Row],[Entfernung (km) einfach]]&gt;10000),Tabelle210[[#This Row],[Entfernung (km) gesamt]]), 0)*Tabelle210[[#This Row],[Anzahl Studierende ]]</f>
        <v>0</v>
      </c>
      <c r="T18">
        <f>IF(Tabelle210[[#This Row],[Verkehrsmittel]]="Motorrad",Tabelle210[[#This Row],[Entfernung (km) gesamt]],0)*Tabelle210[[#This Row],[Anzahl Studierende ]]</f>
        <v>0</v>
      </c>
      <c r="U18">
        <f>IF(Tabelle210[[#This Row],[Verkehrsmittel]]="Straßen-, S-, U-Bahn",Tabelle210[[#This Row],[Entfernung (km) gesamt]],0)*Tabelle210[[#This Row],[Anzahl Studierende ]]</f>
        <v>0</v>
      </c>
      <c r="V18">
        <f>IF(Tabelle210[[#This Row],[Verkehrsmittel]]="Fahrrad",Tabelle210[[#This Row],[Entfernung (km) gesamt]],0)*Tabelle210[[#This Row],[Anzahl Studierende ]]</f>
        <v>0</v>
      </c>
    </row>
    <row r="19" spans="2:22">
      <c r="B19" s="159"/>
      <c r="C19" s="111"/>
      <c r="D19" s="160"/>
      <c r="E19" s="111"/>
      <c r="F19" s="111"/>
      <c r="G19" s="111"/>
      <c r="H19" s="111">
        <f>Tabelle210[[#This Row],[Entfernung (km) einfach]]*2</f>
        <v>0</v>
      </c>
      <c r="I19" s="111"/>
      <c r="J19" s="140"/>
      <c r="K19">
        <f>IF(Tabelle210[[#This Row],[Verkehrsmittel]]="Bus",Tabelle210[[#This Row],[Entfernung (km) gesamt]],0)*Tabelle210[[#This Row],[Anzahl Studierende ]]</f>
        <v>0</v>
      </c>
      <c r="L19">
        <f>IF(Tabelle210[[#This Row],[Verkehrsmittel]]="Bahn",Tabelle210[[#This Row],[Anzahl Studierende ]]*Tabelle210[[#This Row],[Entfernung (km) gesamt]],0)</f>
        <v>0</v>
      </c>
      <c r="M19">
        <f>IF(Tabelle210[[#This Row],[Verkehrsmittel]]="PKW",Tabelle210[[#This Row],[Anzahl Studierende ]]*Tabelle210[[#This Row],[Entfernung (km) gesamt]],0)</f>
        <v>0</v>
      </c>
      <c r="N19">
        <f>IF(Tabelle210[[#This Row],[Verkehrsmittel]]="Flug", IF(AND(Tabelle210[[#This Row],[Entfernung (km) einfach]]&lt;500),Tabelle210[[#This Row],[Entfernung (km) gesamt]]), 0)*Tabelle210[[#This Row],[Anzahl Studierende ]]</f>
        <v>0</v>
      </c>
      <c r="O19">
        <f>IF(Tabelle210[[#This Row],[Verkehrsmittel]]="Flug", IF(AND(Tabelle210[[#This Row],[Entfernung (km) einfach]]&gt;500,Tabelle210[[#This Row],[Entfernung (km) einfach]]&lt;1000),Tabelle210[[#This Row],[Entfernung (km) gesamt]], 0), 0)*Tabelle210[[#This Row],[Anzahl Studierende ]]</f>
        <v>0</v>
      </c>
      <c r="P19">
        <f>IF(Tabelle210[[#This Row],[Verkehrsmittel]]="Flug", IF(AND(Tabelle210[[#This Row],[Entfernung (km) einfach]]&gt;1000,Tabelle210[[#This Row],[Entfernung (km) einfach]]&lt;2000),Tabelle210[[#This Row],[Entfernung (km) gesamt]], 0), 0)*Tabelle210[[#This Row],[Anzahl Studierende ]]</f>
        <v>0</v>
      </c>
      <c r="Q19">
        <f>IF(Tabelle210[[#This Row],[Verkehrsmittel]]="Flug", IF(AND(Tabelle210[[#This Row],[Entfernung (km) einfach]]&gt;2000,Tabelle210[[#This Row],[Entfernung (km) einfach]]&lt;5000),Tabelle210[[#This Row],[Entfernung (km) gesamt]], 0), 0)*Tabelle210[[#This Row],[Anzahl Studierende ]]</f>
        <v>0</v>
      </c>
      <c r="R19">
        <f>IF(Tabelle210[[#This Row],[Verkehrsmittel]]="Flug", IF(AND(Tabelle210[[#This Row],[Entfernung (km) einfach]]&gt;5000,Tabelle210[[#This Row],[Entfernung (km) einfach]]&lt;10000),Tabelle210[[#This Row],[Entfernung (km) gesamt]], 0), 0)*Tabelle210[[#This Row],[Anzahl Studierende ]]</f>
        <v>0</v>
      </c>
      <c r="S19">
        <f>IF(Tabelle210[[#This Row],[Verkehrsmittel]]="Flug", IF(AND(Tabelle210[[#This Row],[Entfernung (km) einfach]]&gt;10000),Tabelle210[[#This Row],[Entfernung (km) gesamt]]), 0)*Tabelle210[[#This Row],[Anzahl Studierende ]]</f>
        <v>0</v>
      </c>
      <c r="T19">
        <f>IF(Tabelle210[[#This Row],[Verkehrsmittel]]="Motorrad",Tabelle210[[#This Row],[Entfernung (km) gesamt]],0)*Tabelle210[[#This Row],[Anzahl Studierende ]]</f>
        <v>0</v>
      </c>
      <c r="U19">
        <f>IF(Tabelle210[[#This Row],[Verkehrsmittel]]="Straßen-, S-, U-Bahn",Tabelle210[[#This Row],[Entfernung (km) gesamt]],0)*Tabelle210[[#This Row],[Anzahl Studierende ]]</f>
        <v>0</v>
      </c>
      <c r="V19">
        <f>IF(Tabelle210[[#This Row],[Verkehrsmittel]]="Fahrrad",Tabelle210[[#This Row],[Entfernung (km) gesamt]],0)*Tabelle210[[#This Row],[Anzahl Studierende ]]</f>
        <v>0</v>
      </c>
    </row>
    <row r="20" spans="2:22">
      <c r="B20" s="138"/>
      <c r="C20" s="139"/>
      <c r="D20" s="160"/>
      <c r="E20" s="111"/>
      <c r="F20" s="111"/>
      <c r="G20" s="111"/>
      <c r="H20" s="111">
        <f>Tabelle210[[#This Row],[Entfernung (km) einfach]]*2</f>
        <v>0</v>
      </c>
      <c r="I20" s="111"/>
      <c r="J20" s="140"/>
      <c r="K20">
        <f>IF(Tabelle210[[#This Row],[Verkehrsmittel]]="Bus",Tabelle210[[#This Row],[Entfernung (km) gesamt]],0)*Tabelle210[[#This Row],[Anzahl Studierende ]]</f>
        <v>0</v>
      </c>
      <c r="L20">
        <f>IF(Tabelle210[[#This Row],[Verkehrsmittel]]="Bahn",Tabelle210[[#This Row],[Anzahl Studierende ]]*Tabelle210[[#This Row],[Entfernung (km) gesamt]],0)</f>
        <v>0</v>
      </c>
      <c r="M20">
        <f>IF(Tabelle210[[#This Row],[Verkehrsmittel]]="PKW",Tabelle210[[#This Row],[Anzahl Studierende ]]*Tabelle210[[#This Row],[Entfernung (km) gesamt]],0)</f>
        <v>0</v>
      </c>
      <c r="N20">
        <f>IF(Tabelle210[[#This Row],[Verkehrsmittel]]="Flug", IF(AND(Tabelle210[[#This Row],[Entfernung (km) einfach]]&lt;500),Tabelle210[[#This Row],[Entfernung (km) gesamt]]), 0)*Tabelle210[[#This Row],[Anzahl Studierende ]]</f>
        <v>0</v>
      </c>
      <c r="O20">
        <f>IF(Tabelle210[[#This Row],[Verkehrsmittel]]="Flug", IF(AND(Tabelle210[[#This Row],[Entfernung (km) einfach]]&gt;500,Tabelle210[[#This Row],[Entfernung (km) einfach]]&lt;1000),Tabelle210[[#This Row],[Entfernung (km) gesamt]], 0), 0)*Tabelle210[[#This Row],[Anzahl Studierende ]]</f>
        <v>0</v>
      </c>
      <c r="P20">
        <f>IF(Tabelle210[[#This Row],[Verkehrsmittel]]="Flug", IF(AND(Tabelle210[[#This Row],[Entfernung (km) einfach]]&gt;1000,Tabelle210[[#This Row],[Entfernung (km) einfach]]&lt;2000),Tabelle210[[#This Row],[Entfernung (km) gesamt]], 0), 0)*Tabelle210[[#This Row],[Anzahl Studierende ]]</f>
        <v>0</v>
      </c>
      <c r="Q20">
        <f>IF(Tabelle210[[#This Row],[Verkehrsmittel]]="Flug", IF(AND(Tabelle210[[#This Row],[Entfernung (km) einfach]]&gt;2000,Tabelle210[[#This Row],[Entfernung (km) einfach]]&lt;5000),Tabelle210[[#This Row],[Entfernung (km) gesamt]], 0), 0)*Tabelle210[[#This Row],[Anzahl Studierende ]]</f>
        <v>0</v>
      </c>
      <c r="R20">
        <f>IF(Tabelle210[[#This Row],[Verkehrsmittel]]="Flug", IF(AND(Tabelle210[[#This Row],[Entfernung (km) einfach]]&gt;5000,Tabelle210[[#This Row],[Entfernung (km) einfach]]&lt;10000),Tabelle210[[#This Row],[Entfernung (km) gesamt]], 0), 0)*Tabelle210[[#This Row],[Anzahl Studierende ]]</f>
        <v>0</v>
      </c>
      <c r="S20">
        <f>IF(Tabelle210[[#This Row],[Verkehrsmittel]]="Flug", IF(AND(Tabelle210[[#This Row],[Entfernung (km) einfach]]&gt;10000),Tabelle210[[#This Row],[Entfernung (km) gesamt]]), 0)*Tabelle210[[#This Row],[Anzahl Studierende ]]</f>
        <v>0</v>
      </c>
      <c r="T20">
        <f>IF(Tabelle210[[#This Row],[Verkehrsmittel]]="Motorrad",Tabelle210[[#This Row],[Entfernung (km) gesamt]],0)*Tabelle210[[#This Row],[Anzahl Studierende ]]</f>
        <v>0</v>
      </c>
      <c r="U20">
        <f>IF(Tabelle210[[#This Row],[Verkehrsmittel]]="Straßen-, S-, U-Bahn",Tabelle210[[#This Row],[Entfernung (km) gesamt]],0)*Tabelle210[[#This Row],[Anzahl Studierende ]]</f>
        <v>0</v>
      </c>
      <c r="V20">
        <f>IF(Tabelle210[[#This Row],[Verkehrsmittel]]="Fahrrad",Tabelle210[[#This Row],[Entfernung (km) gesamt]],0)*Tabelle210[[#This Row],[Anzahl Studierende ]]</f>
        <v>0</v>
      </c>
    </row>
    <row r="21" spans="2:22">
      <c r="B21" s="138"/>
      <c r="C21" s="139"/>
      <c r="D21" s="160"/>
      <c r="E21" s="111"/>
      <c r="F21" s="111"/>
      <c r="G21" s="111"/>
      <c r="H21" s="111">
        <f>Tabelle210[[#This Row],[Entfernung (km) einfach]]*2</f>
        <v>0</v>
      </c>
      <c r="I21" s="111"/>
      <c r="J21" s="140"/>
      <c r="K21">
        <f>IF(Tabelle210[[#This Row],[Verkehrsmittel]]="Bus",Tabelle210[[#This Row],[Entfernung (km) gesamt]],0)*Tabelle210[[#This Row],[Anzahl Studierende ]]</f>
        <v>0</v>
      </c>
      <c r="L21">
        <f>IF(Tabelle210[[#This Row],[Verkehrsmittel]]="Bahn",Tabelle210[[#This Row],[Anzahl Studierende ]]*Tabelle210[[#This Row],[Entfernung (km) gesamt]],0)</f>
        <v>0</v>
      </c>
      <c r="M21">
        <f>IF(Tabelle210[[#This Row],[Verkehrsmittel]]="PKW",Tabelle210[[#This Row],[Anzahl Studierende ]]*Tabelle210[[#This Row],[Entfernung (km) gesamt]],0)</f>
        <v>0</v>
      </c>
      <c r="N21">
        <f>IF(Tabelle210[[#This Row],[Verkehrsmittel]]="Flug", IF(AND(Tabelle210[[#This Row],[Entfernung (km) einfach]]&lt;500),Tabelle210[[#This Row],[Entfernung (km) gesamt]]), 0)*Tabelle210[[#This Row],[Anzahl Studierende ]]</f>
        <v>0</v>
      </c>
      <c r="O21">
        <f>IF(Tabelle210[[#This Row],[Verkehrsmittel]]="Flug", IF(AND(Tabelle210[[#This Row],[Entfernung (km) einfach]]&gt;500,Tabelle210[[#This Row],[Entfernung (km) einfach]]&lt;1000),Tabelle210[[#This Row],[Entfernung (km) gesamt]], 0), 0)*Tabelle210[[#This Row],[Anzahl Studierende ]]</f>
        <v>0</v>
      </c>
      <c r="P21">
        <f>IF(Tabelle210[[#This Row],[Verkehrsmittel]]="Flug", IF(AND(Tabelle210[[#This Row],[Entfernung (km) einfach]]&gt;1000,Tabelle210[[#This Row],[Entfernung (km) einfach]]&lt;2000),Tabelle210[[#This Row],[Entfernung (km) gesamt]], 0), 0)*Tabelle210[[#This Row],[Anzahl Studierende ]]</f>
        <v>0</v>
      </c>
      <c r="Q21">
        <f>IF(Tabelle210[[#This Row],[Verkehrsmittel]]="Flug", IF(AND(Tabelle210[[#This Row],[Entfernung (km) einfach]]&gt;2000,Tabelle210[[#This Row],[Entfernung (km) einfach]]&lt;5000),Tabelle210[[#This Row],[Entfernung (km) gesamt]], 0), 0)*Tabelle210[[#This Row],[Anzahl Studierende ]]</f>
        <v>0</v>
      </c>
      <c r="R21">
        <f>IF(Tabelle210[[#This Row],[Verkehrsmittel]]="Flug", IF(AND(Tabelle210[[#This Row],[Entfernung (km) einfach]]&gt;5000,Tabelle210[[#This Row],[Entfernung (km) einfach]]&lt;10000),Tabelle210[[#This Row],[Entfernung (km) gesamt]], 0), 0)*Tabelle210[[#This Row],[Anzahl Studierende ]]</f>
        <v>0</v>
      </c>
      <c r="S21">
        <f>IF(Tabelle210[[#This Row],[Verkehrsmittel]]="Flug", IF(AND(Tabelle210[[#This Row],[Entfernung (km) einfach]]&gt;10000),Tabelle210[[#This Row],[Entfernung (km) gesamt]]), 0)*Tabelle210[[#This Row],[Anzahl Studierende ]]</f>
        <v>0</v>
      </c>
      <c r="T21">
        <f>IF(Tabelle210[[#This Row],[Verkehrsmittel]]="Motorrad",Tabelle210[[#This Row],[Entfernung (km) gesamt]],0)*Tabelle210[[#This Row],[Anzahl Studierende ]]</f>
        <v>0</v>
      </c>
      <c r="U21">
        <f>IF(Tabelle210[[#This Row],[Verkehrsmittel]]="Straßen-, S-, U-Bahn",Tabelle210[[#This Row],[Entfernung (km) gesamt]],0)*Tabelle210[[#This Row],[Anzahl Studierende ]]</f>
        <v>0</v>
      </c>
      <c r="V21">
        <f>IF(Tabelle210[[#This Row],[Verkehrsmittel]]="Fahrrad",Tabelle210[[#This Row],[Entfernung (km) gesamt]],0)*Tabelle210[[#This Row],[Anzahl Studierende ]]</f>
        <v>0</v>
      </c>
    </row>
    <row r="22" spans="2:22">
      <c r="B22" s="138"/>
      <c r="C22" s="139"/>
      <c r="D22" s="161"/>
      <c r="E22" s="111"/>
      <c r="F22" s="111"/>
      <c r="G22" s="111"/>
      <c r="H22" s="111">
        <f>Tabelle210[[#This Row],[Entfernung (km) einfach]]*2</f>
        <v>0</v>
      </c>
      <c r="I22" s="111"/>
      <c r="J22" s="140"/>
      <c r="K22">
        <f>IF(Tabelle210[[#This Row],[Verkehrsmittel]]="Bus",Tabelle210[[#This Row],[Entfernung (km) gesamt]],0)*Tabelle210[[#This Row],[Anzahl Studierende ]]</f>
        <v>0</v>
      </c>
      <c r="L22">
        <f>IF(Tabelle210[[#This Row],[Verkehrsmittel]]="Bahn",Tabelle210[[#This Row],[Anzahl Studierende ]]*Tabelle210[[#This Row],[Entfernung (km) gesamt]],0)</f>
        <v>0</v>
      </c>
      <c r="M22">
        <f>IF(Tabelle210[[#This Row],[Verkehrsmittel]]="PKW",Tabelle210[[#This Row],[Anzahl Studierende ]]*Tabelle210[[#This Row],[Entfernung (km) gesamt]],0)</f>
        <v>0</v>
      </c>
      <c r="N22">
        <f>IF(Tabelle210[[#This Row],[Verkehrsmittel]]="Flug", IF(AND(Tabelle210[[#This Row],[Entfernung (km) einfach]]&lt;500),Tabelle210[[#This Row],[Entfernung (km) gesamt]]), 0)*Tabelle210[[#This Row],[Anzahl Studierende ]]</f>
        <v>0</v>
      </c>
      <c r="O22">
        <f>IF(Tabelle210[[#This Row],[Verkehrsmittel]]="Flug", IF(AND(Tabelle210[[#This Row],[Entfernung (km) einfach]]&gt;500,Tabelle210[[#This Row],[Entfernung (km) einfach]]&lt;1000),Tabelle210[[#This Row],[Entfernung (km) gesamt]], 0), 0)*Tabelle210[[#This Row],[Anzahl Studierende ]]</f>
        <v>0</v>
      </c>
      <c r="P22">
        <f>IF(Tabelle210[[#This Row],[Verkehrsmittel]]="Flug", IF(AND(Tabelle210[[#This Row],[Entfernung (km) einfach]]&gt;1000,Tabelle210[[#This Row],[Entfernung (km) einfach]]&lt;2000),Tabelle210[[#This Row],[Entfernung (km) gesamt]], 0), 0)*Tabelle210[[#This Row],[Anzahl Studierende ]]</f>
        <v>0</v>
      </c>
      <c r="Q22">
        <f>IF(Tabelle210[[#This Row],[Verkehrsmittel]]="Flug", IF(AND(Tabelle210[[#This Row],[Entfernung (km) einfach]]&gt;2000,Tabelle210[[#This Row],[Entfernung (km) einfach]]&lt;5000),Tabelle210[[#This Row],[Entfernung (km) gesamt]], 0), 0)*Tabelle210[[#This Row],[Anzahl Studierende ]]</f>
        <v>0</v>
      </c>
      <c r="R22">
        <f>IF(Tabelle210[[#This Row],[Verkehrsmittel]]="Flug", IF(AND(Tabelle210[[#This Row],[Entfernung (km) einfach]]&gt;5000,Tabelle210[[#This Row],[Entfernung (km) einfach]]&lt;10000),Tabelle210[[#This Row],[Entfernung (km) gesamt]], 0), 0)*Tabelle210[[#This Row],[Anzahl Studierende ]]</f>
        <v>0</v>
      </c>
      <c r="S22">
        <f>IF(Tabelle210[[#This Row],[Verkehrsmittel]]="Flug", IF(AND(Tabelle210[[#This Row],[Entfernung (km) einfach]]&gt;10000),Tabelle210[[#This Row],[Entfernung (km) gesamt]]), 0)*Tabelle210[[#This Row],[Anzahl Studierende ]]</f>
        <v>0</v>
      </c>
      <c r="T22">
        <f>IF(Tabelle210[[#This Row],[Verkehrsmittel]]="Motorrad",Tabelle210[[#This Row],[Entfernung (km) gesamt]],0)*Tabelle210[[#This Row],[Anzahl Studierende ]]</f>
        <v>0</v>
      </c>
      <c r="U22">
        <f>IF(Tabelle210[[#This Row],[Verkehrsmittel]]="Straßen-, S-, U-Bahn",Tabelle210[[#This Row],[Entfernung (km) gesamt]],0)*Tabelle210[[#This Row],[Anzahl Studierende ]]</f>
        <v>0</v>
      </c>
      <c r="V22">
        <f>IF(Tabelle210[[#This Row],[Verkehrsmittel]]="Fahrrad",Tabelle210[[#This Row],[Entfernung (km) gesamt]],0)*Tabelle210[[#This Row],[Anzahl Studierende ]]</f>
        <v>0</v>
      </c>
    </row>
    <row r="23" spans="2:22">
      <c r="B23" s="138"/>
      <c r="C23" s="139"/>
      <c r="D23" s="160"/>
      <c r="E23" s="111"/>
      <c r="F23" s="111"/>
      <c r="G23" s="111"/>
      <c r="H23" s="111">
        <f>Tabelle210[[#This Row],[Entfernung (km) einfach]]*2</f>
        <v>0</v>
      </c>
      <c r="I23" s="111"/>
      <c r="J23" s="140"/>
      <c r="K23">
        <f>IF(Tabelle210[[#This Row],[Verkehrsmittel]]="Bus",Tabelle210[[#This Row],[Entfernung (km) gesamt]],0)*Tabelle210[[#This Row],[Anzahl Studierende ]]</f>
        <v>0</v>
      </c>
      <c r="L23">
        <f>IF(Tabelle210[[#This Row],[Verkehrsmittel]]="Bahn",Tabelle210[[#This Row],[Anzahl Studierende ]]*Tabelle210[[#This Row],[Entfernung (km) gesamt]],0)</f>
        <v>0</v>
      </c>
      <c r="M23">
        <f>IF(Tabelle210[[#This Row],[Verkehrsmittel]]="PKW",Tabelle210[[#This Row],[Anzahl Studierende ]]*Tabelle210[[#This Row],[Entfernung (km) gesamt]],0)</f>
        <v>0</v>
      </c>
      <c r="N23">
        <f>IF(Tabelle210[[#This Row],[Verkehrsmittel]]="Flug", IF(AND(Tabelle210[[#This Row],[Entfernung (km) einfach]]&lt;500),Tabelle210[[#This Row],[Entfernung (km) gesamt]]), 0)*Tabelle210[[#This Row],[Anzahl Studierende ]]</f>
        <v>0</v>
      </c>
      <c r="O23">
        <f>IF(Tabelle210[[#This Row],[Verkehrsmittel]]="Flug", IF(AND(Tabelle210[[#This Row],[Entfernung (km) einfach]]&gt;500,Tabelle210[[#This Row],[Entfernung (km) einfach]]&lt;1000),Tabelle210[[#This Row],[Entfernung (km) gesamt]], 0), 0)*Tabelle210[[#This Row],[Anzahl Studierende ]]</f>
        <v>0</v>
      </c>
      <c r="P23">
        <f>IF(Tabelle210[[#This Row],[Verkehrsmittel]]="Flug", IF(AND(Tabelle210[[#This Row],[Entfernung (km) einfach]]&gt;1000,Tabelle210[[#This Row],[Entfernung (km) einfach]]&lt;2000),Tabelle210[[#This Row],[Entfernung (km) gesamt]], 0), 0)*Tabelle210[[#This Row],[Anzahl Studierende ]]</f>
        <v>0</v>
      </c>
      <c r="Q23">
        <f>IF(Tabelle210[[#This Row],[Verkehrsmittel]]="Flug", IF(AND(Tabelle210[[#This Row],[Entfernung (km) einfach]]&gt;2000,Tabelle210[[#This Row],[Entfernung (km) einfach]]&lt;5000),Tabelle210[[#This Row],[Entfernung (km) gesamt]], 0), 0)*Tabelle210[[#This Row],[Anzahl Studierende ]]</f>
        <v>0</v>
      </c>
      <c r="R23">
        <f>IF(Tabelle210[[#This Row],[Verkehrsmittel]]="Flug", IF(AND(Tabelle210[[#This Row],[Entfernung (km) einfach]]&gt;5000,Tabelle210[[#This Row],[Entfernung (km) einfach]]&lt;10000),Tabelle210[[#This Row],[Entfernung (km) gesamt]], 0), 0)*Tabelle210[[#This Row],[Anzahl Studierende ]]</f>
        <v>0</v>
      </c>
      <c r="S23">
        <f>IF(Tabelle210[[#This Row],[Verkehrsmittel]]="Flug", IF(AND(Tabelle210[[#This Row],[Entfernung (km) einfach]]&gt;10000),Tabelle210[[#This Row],[Entfernung (km) gesamt]]), 0)*Tabelle210[[#This Row],[Anzahl Studierende ]]</f>
        <v>0</v>
      </c>
      <c r="T23">
        <f>IF(Tabelle210[[#This Row],[Verkehrsmittel]]="Motorrad",Tabelle210[[#This Row],[Entfernung (km) gesamt]],0)*Tabelle210[[#This Row],[Anzahl Studierende ]]</f>
        <v>0</v>
      </c>
      <c r="U23">
        <f>IF(Tabelle210[[#This Row],[Verkehrsmittel]]="Straßen-, S-, U-Bahn",Tabelle210[[#This Row],[Entfernung (km) gesamt]],0)*Tabelle210[[#This Row],[Anzahl Studierende ]]</f>
        <v>0</v>
      </c>
      <c r="V23">
        <f>IF(Tabelle210[[#This Row],[Verkehrsmittel]]="Fahrrad",Tabelle210[[#This Row],[Entfernung (km) gesamt]],0)*Tabelle210[[#This Row],[Anzahl Studierende ]]</f>
        <v>0</v>
      </c>
    </row>
    <row r="24" spans="2:22">
      <c r="B24" s="138"/>
      <c r="C24" s="139"/>
      <c r="D24" s="160"/>
      <c r="E24" s="111"/>
      <c r="F24" s="111"/>
      <c r="G24" s="111"/>
      <c r="H24" s="111">
        <f>Tabelle210[[#This Row],[Entfernung (km) einfach]]*2</f>
        <v>0</v>
      </c>
      <c r="I24" s="111"/>
      <c r="J24" s="140"/>
      <c r="K24">
        <f>IF(Tabelle210[[#This Row],[Verkehrsmittel]]="Bus",Tabelle210[[#This Row],[Entfernung (km) gesamt]],0)*Tabelle210[[#This Row],[Anzahl Studierende ]]</f>
        <v>0</v>
      </c>
      <c r="L24">
        <f>IF(Tabelle210[[#This Row],[Verkehrsmittel]]="Bahn",Tabelle210[[#This Row],[Anzahl Studierende ]]*Tabelle210[[#This Row],[Entfernung (km) gesamt]],0)</f>
        <v>0</v>
      </c>
      <c r="M24">
        <f>IF(Tabelle210[[#This Row],[Verkehrsmittel]]="PKW",Tabelle210[[#This Row],[Anzahl Studierende ]]*Tabelle210[[#This Row],[Entfernung (km) gesamt]],0)</f>
        <v>0</v>
      </c>
      <c r="N24">
        <f>IF(Tabelle210[[#This Row],[Verkehrsmittel]]="Flug", IF(AND(Tabelle210[[#This Row],[Entfernung (km) einfach]]&lt;500),Tabelle210[[#This Row],[Entfernung (km) gesamt]]), 0)*Tabelle210[[#This Row],[Anzahl Studierende ]]</f>
        <v>0</v>
      </c>
      <c r="O24">
        <f>IF(Tabelle210[[#This Row],[Verkehrsmittel]]="Flug", IF(AND(Tabelle210[[#This Row],[Entfernung (km) einfach]]&gt;500,Tabelle210[[#This Row],[Entfernung (km) einfach]]&lt;1000),Tabelle210[[#This Row],[Entfernung (km) gesamt]], 0), 0)*Tabelle210[[#This Row],[Anzahl Studierende ]]</f>
        <v>0</v>
      </c>
      <c r="P24">
        <f>IF(Tabelle210[[#This Row],[Verkehrsmittel]]="Flug", IF(AND(Tabelle210[[#This Row],[Entfernung (km) einfach]]&gt;1000,Tabelle210[[#This Row],[Entfernung (km) einfach]]&lt;2000),Tabelle210[[#This Row],[Entfernung (km) gesamt]], 0), 0)*Tabelle210[[#This Row],[Anzahl Studierende ]]</f>
        <v>0</v>
      </c>
      <c r="Q24">
        <f>IF(Tabelle210[[#This Row],[Verkehrsmittel]]="Flug", IF(AND(Tabelle210[[#This Row],[Entfernung (km) einfach]]&gt;2000,Tabelle210[[#This Row],[Entfernung (km) einfach]]&lt;5000),Tabelle210[[#This Row],[Entfernung (km) gesamt]], 0), 0)*Tabelle210[[#This Row],[Anzahl Studierende ]]</f>
        <v>0</v>
      </c>
      <c r="R24">
        <f>IF(Tabelle210[[#This Row],[Verkehrsmittel]]="Flug", IF(AND(Tabelle210[[#This Row],[Entfernung (km) einfach]]&gt;5000,Tabelle210[[#This Row],[Entfernung (km) einfach]]&lt;10000),Tabelle210[[#This Row],[Entfernung (km) gesamt]], 0), 0)*Tabelle210[[#This Row],[Anzahl Studierende ]]</f>
        <v>0</v>
      </c>
      <c r="S24">
        <f>IF(Tabelle210[[#This Row],[Verkehrsmittel]]="Flug", IF(AND(Tabelle210[[#This Row],[Entfernung (km) einfach]]&gt;10000),Tabelle210[[#This Row],[Entfernung (km) gesamt]]), 0)*Tabelle210[[#This Row],[Anzahl Studierende ]]</f>
        <v>0</v>
      </c>
      <c r="T24">
        <f>IF(Tabelle210[[#This Row],[Verkehrsmittel]]="Motorrad",Tabelle210[[#This Row],[Entfernung (km) gesamt]],0)*Tabelle210[[#This Row],[Anzahl Studierende ]]</f>
        <v>0</v>
      </c>
      <c r="U24">
        <f>IF(Tabelle210[[#This Row],[Verkehrsmittel]]="Straßen-, S-, U-Bahn",Tabelle210[[#This Row],[Entfernung (km) gesamt]],0)*Tabelle210[[#This Row],[Anzahl Studierende ]]</f>
        <v>0</v>
      </c>
      <c r="V24">
        <f>IF(Tabelle210[[#This Row],[Verkehrsmittel]]="Fahrrad",Tabelle210[[#This Row],[Entfernung (km) gesamt]],0)*Tabelle210[[#This Row],[Anzahl Studierende ]]</f>
        <v>0</v>
      </c>
    </row>
    <row r="25" spans="2:22">
      <c r="B25" s="138"/>
      <c r="C25" s="139"/>
      <c r="D25" s="160"/>
      <c r="E25" s="111"/>
      <c r="F25" s="111"/>
      <c r="G25" s="111"/>
      <c r="H25" s="111">
        <f>Tabelle210[[#This Row],[Entfernung (km) einfach]]*2</f>
        <v>0</v>
      </c>
      <c r="I25" s="111"/>
      <c r="J25" s="140"/>
      <c r="K25">
        <f>IF(Tabelle210[[#This Row],[Verkehrsmittel]]="Bus",Tabelle210[[#This Row],[Entfernung (km) gesamt]],0)*Tabelle210[[#This Row],[Anzahl Studierende ]]</f>
        <v>0</v>
      </c>
      <c r="L25">
        <f>IF(Tabelle210[[#This Row],[Verkehrsmittel]]="Bahn",Tabelle210[[#This Row],[Anzahl Studierende ]]*Tabelle210[[#This Row],[Entfernung (km) gesamt]],0)</f>
        <v>0</v>
      </c>
      <c r="M25">
        <f>IF(Tabelle210[[#This Row],[Verkehrsmittel]]="PKW",Tabelle210[[#This Row],[Anzahl Studierende ]]*Tabelle210[[#This Row],[Entfernung (km) gesamt]],0)</f>
        <v>0</v>
      </c>
      <c r="N25">
        <f>IF(Tabelle210[[#This Row],[Verkehrsmittel]]="Flug", IF(AND(Tabelle210[[#This Row],[Entfernung (km) einfach]]&lt;500),Tabelle210[[#This Row],[Entfernung (km) gesamt]]), 0)*Tabelle210[[#This Row],[Anzahl Studierende ]]</f>
        <v>0</v>
      </c>
      <c r="O25">
        <f>IF(Tabelle210[[#This Row],[Verkehrsmittel]]="Flug", IF(AND(Tabelle210[[#This Row],[Entfernung (km) einfach]]&gt;500,Tabelle210[[#This Row],[Entfernung (km) einfach]]&lt;1000),Tabelle210[[#This Row],[Entfernung (km) gesamt]], 0), 0)*Tabelle210[[#This Row],[Anzahl Studierende ]]</f>
        <v>0</v>
      </c>
      <c r="P25">
        <f>IF(Tabelle210[[#This Row],[Verkehrsmittel]]="Flug", IF(AND(Tabelle210[[#This Row],[Entfernung (km) einfach]]&gt;1000,Tabelle210[[#This Row],[Entfernung (km) einfach]]&lt;2000),Tabelle210[[#This Row],[Entfernung (km) gesamt]], 0), 0)*Tabelle210[[#This Row],[Anzahl Studierende ]]</f>
        <v>0</v>
      </c>
      <c r="Q25">
        <f>IF(Tabelle210[[#This Row],[Verkehrsmittel]]="Flug", IF(AND(Tabelle210[[#This Row],[Entfernung (km) einfach]]&gt;2000,Tabelle210[[#This Row],[Entfernung (km) einfach]]&lt;5000),Tabelle210[[#This Row],[Entfernung (km) gesamt]], 0), 0)*Tabelle210[[#This Row],[Anzahl Studierende ]]</f>
        <v>0</v>
      </c>
      <c r="R25">
        <f>IF(Tabelle210[[#This Row],[Verkehrsmittel]]="Flug", IF(AND(Tabelle210[[#This Row],[Entfernung (km) einfach]]&gt;5000,Tabelle210[[#This Row],[Entfernung (km) einfach]]&lt;10000),Tabelle210[[#This Row],[Entfernung (km) gesamt]], 0), 0)*Tabelle210[[#This Row],[Anzahl Studierende ]]</f>
        <v>0</v>
      </c>
      <c r="S25">
        <f>IF(Tabelle210[[#This Row],[Verkehrsmittel]]="Flug", IF(AND(Tabelle210[[#This Row],[Entfernung (km) einfach]]&gt;10000),Tabelle210[[#This Row],[Entfernung (km) gesamt]]), 0)*Tabelle210[[#This Row],[Anzahl Studierende ]]</f>
        <v>0</v>
      </c>
      <c r="T25">
        <f>IF(Tabelle210[[#This Row],[Verkehrsmittel]]="Motorrad",Tabelle210[[#This Row],[Entfernung (km) gesamt]],0)*Tabelle210[[#This Row],[Anzahl Studierende ]]</f>
        <v>0</v>
      </c>
      <c r="U25">
        <f>IF(Tabelle210[[#This Row],[Verkehrsmittel]]="Straßen-, S-, U-Bahn",Tabelle210[[#This Row],[Entfernung (km) gesamt]],0)*Tabelle210[[#This Row],[Anzahl Studierende ]]</f>
        <v>0</v>
      </c>
      <c r="V25">
        <f>IF(Tabelle210[[#This Row],[Verkehrsmittel]]="Fahrrad",Tabelle210[[#This Row],[Entfernung (km) gesamt]],0)*Tabelle210[[#This Row],[Anzahl Studierende ]]</f>
        <v>0</v>
      </c>
    </row>
    <row r="26" spans="2:22">
      <c r="B26" s="138"/>
      <c r="C26" s="139"/>
      <c r="D26" s="160"/>
      <c r="E26" s="111"/>
      <c r="F26" s="111"/>
      <c r="G26" s="111"/>
      <c r="H26" s="111">
        <f>Tabelle210[[#This Row],[Entfernung (km) einfach]]*2</f>
        <v>0</v>
      </c>
      <c r="I26" s="111"/>
      <c r="J26" s="140"/>
      <c r="K26">
        <f>IF(Tabelle210[[#This Row],[Verkehrsmittel]]="Bus",Tabelle210[[#This Row],[Entfernung (km) gesamt]],0)*Tabelle210[[#This Row],[Anzahl Studierende ]]</f>
        <v>0</v>
      </c>
      <c r="L26">
        <f>IF(Tabelle210[[#This Row],[Verkehrsmittel]]="Bahn",Tabelle210[[#This Row],[Anzahl Studierende ]]*Tabelle210[[#This Row],[Entfernung (km) gesamt]],0)</f>
        <v>0</v>
      </c>
      <c r="M26">
        <f>IF(Tabelle210[[#This Row],[Verkehrsmittel]]="PKW",Tabelle210[[#This Row],[Anzahl Studierende ]]*Tabelle210[[#This Row],[Entfernung (km) gesamt]],0)</f>
        <v>0</v>
      </c>
      <c r="N26">
        <f>IF(Tabelle210[[#This Row],[Verkehrsmittel]]="Flug", IF(AND(Tabelle210[[#This Row],[Entfernung (km) einfach]]&lt;500),Tabelle210[[#This Row],[Entfernung (km) gesamt]]), 0)*Tabelle210[[#This Row],[Anzahl Studierende ]]</f>
        <v>0</v>
      </c>
      <c r="O26">
        <f>IF(Tabelle210[[#This Row],[Verkehrsmittel]]="Flug", IF(AND(Tabelle210[[#This Row],[Entfernung (km) einfach]]&gt;500,Tabelle210[[#This Row],[Entfernung (km) einfach]]&lt;1000),Tabelle210[[#This Row],[Entfernung (km) gesamt]], 0), 0)*Tabelle210[[#This Row],[Anzahl Studierende ]]</f>
        <v>0</v>
      </c>
      <c r="P26">
        <f>IF(Tabelle210[[#This Row],[Verkehrsmittel]]="Flug", IF(AND(Tabelle210[[#This Row],[Entfernung (km) einfach]]&gt;1000,Tabelle210[[#This Row],[Entfernung (km) einfach]]&lt;2000),Tabelle210[[#This Row],[Entfernung (km) gesamt]], 0), 0)*Tabelle210[[#This Row],[Anzahl Studierende ]]</f>
        <v>0</v>
      </c>
      <c r="Q26">
        <f>IF(Tabelle210[[#This Row],[Verkehrsmittel]]="Flug", IF(AND(Tabelle210[[#This Row],[Entfernung (km) einfach]]&gt;2000,Tabelle210[[#This Row],[Entfernung (km) einfach]]&lt;5000),Tabelle210[[#This Row],[Entfernung (km) gesamt]], 0), 0)*Tabelle210[[#This Row],[Anzahl Studierende ]]</f>
        <v>0</v>
      </c>
      <c r="R26">
        <f>IF(Tabelle210[[#This Row],[Verkehrsmittel]]="Flug", IF(AND(Tabelle210[[#This Row],[Entfernung (km) einfach]]&gt;5000,Tabelle210[[#This Row],[Entfernung (km) einfach]]&lt;10000),Tabelle210[[#This Row],[Entfernung (km) gesamt]], 0), 0)*Tabelle210[[#This Row],[Anzahl Studierende ]]</f>
        <v>0</v>
      </c>
      <c r="S26">
        <f>IF(Tabelle210[[#This Row],[Verkehrsmittel]]="Flug", IF(AND(Tabelle210[[#This Row],[Entfernung (km) einfach]]&gt;10000),Tabelle210[[#This Row],[Entfernung (km) gesamt]]), 0)*Tabelle210[[#This Row],[Anzahl Studierende ]]</f>
        <v>0</v>
      </c>
      <c r="T26">
        <f>IF(Tabelle210[[#This Row],[Verkehrsmittel]]="Motorrad",Tabelle210[[#This Row],[Entfernung (km) gesamt]],0)*Tabelle210[[#This Row],[Anzahl Studierende ]]</f>
        <v>0</v>
      </c>
      <c r="U26">
        <f>IF(Tabelle210[[#This Row],[Verkehrsmittel]]="Straßen-, S-, U-Bahn",Tabelle210[[#This Row],[Entfernung (km) gesamt]],0)*Tabelle210[[#This Row],[Anzahl Studierende ]]</f>
        <v>0</v>
      </c>
      <c r="V26">
        <f>IF(Tabelle210[[#This Row],[Verkehrsmittel]]="Fahrrad",Tabelle210[[#This Row],[Entfernung (km) gesamt]],0)*Tabelle210[[#This Row],[Anzahl Studierende ]]</f>
        <v>0</v>
      </c>
    </row>
    <row r="27" spans="2:22">
      <c r="B27" s="138"/>
      <c r="C27" s="139"/>
      <c r="D27" s="160"/>
      <c r="E27" s="111"/>
      <c r="F27" s="111"/>
      <c r="G27" s="111"/>
      <c r="H27" s="111">
        <f>Tabelle210[[#This Row],[Entfernung (km) einfach]]*2</f>
        <v>0</v>
      </c>
      <c r="I27" s="111"/>
      <c r="J27" s="140"/>
      <c r="K27">
        <f>IF(Tabelle210[[#This Row],[Verkehrsmittel]]="Bus",Tabelle210[[#This Row],[Entfernung (km) gesamt]],0)*Tabelle210[[#This Row],[Anzahl Studierende ]]</f>
        <v>0</v>
      </c>
      <c r="L27">
        <f>IF(Tabelle210[[#This Row],[Verkehrsmittel]]="Bahn",Tabelle210[[#This Row],[Anzahl Studierende ]]*Tabelle210[[#This Row],[Entfernung (km) gesamt]],0)</f>
        <v>0</v>
      </c>
      <c r="M27">
        <f>IF(Tabelle210[[#This Row],[Verkehrsmittel]]="PKW",Tabelle210[[#This Row],[Anzahl Studierende ]]*Tabelle210[[#This Row],[Entfernung (km) gesamt]],0)</f>
        <v>0</v>
      </c>
      <c r="N27">
        <f>IF(Tabelle210[[#This Row],[Verkehrsmittel]]="Flug", IF(AND(Tabelle210[[#This Row],[Entfernung (km) einfach]]&lt;500),Tabelle210[[#This Row],[Entfernung (km) gesamt]]), 0)*Tabelle210[[#This Row],[Anzahl Studierende ]]</f>
        <v>0</v>
      </c>
      <c r="O27">
        <f>IF(Tabelle210[[#This Row],[Verkehrsmittel]]="Flug", IF(AND(Tabelle210[[#This Row],[Entfernung (km) einfach]]&gt;500,Tabelle210[[#This Row],[Entfernung (km) einfach]]&lt;1000),Tabelle210[[#This Row],[Entfernung (km) gesamt]], 0), 0)*Tabelle210[[#This Row],[Anzahl Studierende ]]</f>
        <v>0</v>
      </c>
      <c r="P27">
        <f>IF(Tabelle210[[#This Row],[Verkehrsmittel]]="Flug", IF(AND(Tabelle210[[#This Row],[Entfernung (km) einfach]]&gt;1000,Tabelle210[[#This Row],[Entfernung (km) einfach]]&lt;2000),Tabelle210[[#This Row],[Entfernung (km) gesamt]], 0), 0)*Tabelle210[[#This Row],[Anzahl Studierende ]]</f>
        <v>0</v>
      </c>
      <c r="Q27">
        <f>IF(Tabelle210[[#This Row],[Verkehrsmittel]]="Flug", IF(AND(Tabelle210[[#This Row],[Entfernung (km) einfach]]&gt;2000,Tabelle210[[#This Row],[Entfernung (km) einfach]]&lt;5000),Tabelle210[[#This Row],[Entfernung (km) gesamt]], 0), 0)*Tabelle210[[#This Row],[Anzahl Studierende ]]</f>
        <v>0</v>
      </c>
      <c r="R27">
        <f>IF(Tabelle210[[#This Row],[Verkehrsmittel]]="Flug", IF(AND(Tabelle210[[#This Row],[Entfernung (km) einfach]]&gt;5000,Tabelle210[[#This Row],[Entfernung (km) einfach]]&lt;10000),Tabelle210[[#This Row],[Entfernung (km) gesamt]], 0), 0)*Tabelle210[[#This Row],[Anzahl Studierende ]]</f>
        <v>0</v>
      </c>
      <c r="S27">
        <f>IF(Tabelle210[[#This Row],[Verkehrsmittel]]="Flug", IF(AND(Tabelle210[[#This Row],[Entfernung (km) einfach]]&gt;10000),Tabelle210[[#This Row],[Entfernung (km) gesamt]]), 0)*Tabelle210[[#This Row],[Anzahl Studierende ]]</f>
        <v>0</v>
      </c>
      <c r="T27">
        <f>IF(Tabelle210[[#This Row],[Verkehrsmittel]]="Motorrad",Tabelle210[[#This Row],[Entfernung (km) gesamt]],0)*Tabelle210[[#This Row],[Anzahl Studierende ]]</f>
        <v>0</v>
      </c>
      <c r="U27">
        <f>IF(Tabelle210[[#This Row],[Verkehrsmittel]]="Straßen-, S-, U-Bahn",Tabelle210[[#This Row],[Entfernung (km) gesamt]],0)*Tabelle210[[#This Row],[Anzahl Studierende ]]</f>
        <v>0</v>
      </c>
      <c r="V27">
        <f>IF(Tabelle210[[#This Row],[Verkehrsmittel]]="Fahrrad",Tabelle210[[#This Row],[Entfernung (km) gesamt]],0)*Tabelle210[[#This Row],[Anzahl Studierende ]]</f>
        <v>0</v>
      </c>
    </row>
    <row r="28" spans="2:22">
      <c r="B28" s="138"/>
      <c r="C28" s="139"/>
      <c r="D28" s="160"/>
      <c r="E28" s="111"/>
      <c r="F28" s="111"/>
      <c r="G28" s="111"/>
      <c r="H28" s="111">
        <f>Tabelle210[[#This Row],[Entfernung (km) einfach]]*2</f>
        <v>0</v>
      </c>
      <c r="I28" s="111"/>
      <c r="J28" s="140"/>
      <c r="K28">
        <f>IF(Tabelle210[[#This Row],[Verkehrsmittel]]="Bus",Tabelle210[[#This Row],[Entfernung (km) gesamt]],0)*Tabelle210[[#This Row],[Anzahl Studierende ]]</f>
        <v>0</v>
      </c>
      <c r="L28">
        <f>IF(Tabelle210[[#This Row],[Verkehrsmittel]]="Bahn",Tabelle210[[#This Row],[Anzahl Studierende ]]*Tabelle210[[#This Row],[Entfernung (km) gesamt]],0)</f>
        <v>0</v>
      </c>
      <c r="M28">
        <f>IF(Tabelle210[[#This Row],[Verkehrsmittel]]="PKW",Tabelle210[[#This Row],[Anzahl Studierende ]]*Tabelle210[[#This Row],[Entfernung (km) gesamt]],0)</f>
        <v>0</v>
      </c>
      <c r="N28">
        <f>IF(Tabelle210[[#This Row],[Verkehrsmittel]]="Flug", IF(AND(Tabelle210[[#This Row],[Entfernung (km) einfach]]&lt;500),Tabelle210[[#This Row],[Entfernung (km) gesamt]]), 0)*Tabelle210[[#This Row],[Anzahl Studierende ]]</f>
        <v>0</v>
      </c>
      <c r="O28">
        <f>IF(Tabelle210[[#This Row],[Verkehrsmittel]]="Flug", IF(AND(Tabelle210[[#This Row],[Entfernung (km) einfach]]&gt;500,Tabelle210[[#This Row],[Entfernung (km) einfach]]&lt;1000),Tabelle210[[#This Row],[Entfernung (km) gesamt]], 0), 0)*Tabelle210[[#This Row],[Anzahl Studierende ]]</f>
        <v>0</v>
      </c>
      <c r="P28">
        <f>IF(Tabelle210[[#This Row],[Verkehrsmittel]]="Flug", IF(AND(Tabelle210[[#This Row],[Entfernung (km) einfach]]&gt;1000,Tabelle210[[#This Row],[Entfernung (km) einfach]]&lt;2000),Tabelle210[[#This Row],[Entfernung (km) gesamt]], 0), 0)*Tabelle210[[#This Row],[Anzahl Studierende ]]</f>
        <v>0</v>
      </c>
      <c r="Q28">
        <f>IF(Tabelle210[[#This Row],[Verkehrsmittel]]="Flug", IF(AND(Tabelle210[[#This Row],[Entfernung (km) einfach]]&gt;2000,Tabelle210[[#This Row],[Entfernung (km) einfach]]&lt;5000),Tabelle210[[#This Row],[Entfernung (km) gesamt]], 0), 0)*Tabelle210[[#This Row],[Anzahl Studierende ]]</f>
        <v>0</v>
      </c>
      <c r="R28">
        <f>IF(Tabelle210[[#This Row],[Verkehrsmittel]]="Flug", IF(AND(Tabelle210[[#This Row],[Entfernung (km) einfach]]&gt;5000,Tabelle210[[#This Row],[Entfernung (km) einfach]]&lt;10000),Tabelle210[[#This Row],[Entfernung (km) gesamt]], 0), 0)*Tabelle210[[#This Row],[Anzahl Studierende ]]</f>
        <v>0</v>
      </c>
      <c r="S28">
        <f>IF(Tabelle210[[#This Row],[Verkehrsmittel]]="Flug", IF(AND(Tabelle210[[#This Row],[Entfernung (km) einfach]]&gt;10000),Tabelle210[[#This Row],[Entfernung (km) gesamt]]), 0)*Tabelle210[[#This Row],[Anzahl Studierende ]]</f>
        <v>0</v>
      </c>
      <c r="T28">
        <f>IF(Tabelle210[[#This Row],[Verkehrsmittel]]="Motorrad",Tabelle210[[#This Row],[Entfernung (km) gesamt]],0)*Tabelle210[[#This Row],[Anzahl Studierende ]]</f>
        <v>0</v>
      </c>
      <c r="U28">
        <f>IF(Tabelle210[[#This Row],[Verkehrsmittel]]="Straßen-, S-, U-Bahn",Tabelle210[[#This Row],[Entfernung (km) gesamt]],0)*Tabelle210[[#This Row],[Anzahl Studierende ]]</f>
        <v>0</v>
      </c>
      <c r="V28">
        <f>IF(Tabelle210[[#This Row],[Verkehrsmittel]]="Fahrrad",Tabelle210[[#This Row],[Entfernung (km) gesamt]],0)*Tabelle210[[#This Row],[Anzahl Studierende ]]</f>
        <v>0</v>
      </c>
    </row>
    <row r="29" spans="2:22">
      <c r="B29" s="138"/>
      <c r="C29" s="139"/>
      <c r="D29" s="160"/>
      <c r="E29" s="111"/>
      <c r="F29" s="111"/>
      <c r="G29" s="111"/>
      <c r="H29" s="111">
        <f>Tabelle210[[#This Row],[Entfernung (km) einfach]]*2</f>
        <v>0</v>
      </c>
      <c r="I29" s="111"/>
      <c r="J29" s="140"/>
      <c r="K29">
        <f>IF(Tabelle210[[#This Row],[Verkehrsmittel]]="Bus",Tabelle210[[#This Row],[Entfernung (km) gesamt]],0)*Tabelle210[[#This Row],[Anzahl Studierende ]]</f>
        <v>0</v>
      </c>
      <c r="L29">
        <f>IF(Tabelle210[[#This Row],[Verkehrsmittel]]="Bahn",Tabelle210[[#This Row],[Anzahl Studierende ]]*Tabelle210[[#This Row],[Entfernung (km) gesamt]],0)</f>
        <v>0</v>
      </c>
      <c r="M29">
        <f>IF(Tabelle210[[#This Row],[Verkehrsmittel]]="PKW",Tabelle210[[#This Row],[Anzahl Studierende ]]*Tabelle210[[#This Row],[Entfernung (km) gesamt]],0)</f>
        <v>0</v>
      </c>
      <c r="N29">
        <f>IF(Tabelle210[[#This Row],[Verkehrsmittel]]="Flug", IF(AND(Tabelle210[[#This Row],[Entfernung (km) einfach]]&lt;500),Tabelle210[[#This Row],[Entfernung (km) gesamt]]), 0)*Tabelle210[[#This Row],[Anzahl Studierende ]]</f>
        <v>0</v>
      </c>
      <c r="O29">
        <f>IF(Tabelle210[[#This Row],[Verkehrsmittel]]="Flug", IF(AND(Tabelle210[[#This Row],[Entfernung (km) einfach]]&gt;500,Tabelle210[[#This Row],[Entfernung (km) einfach]]&lt;1000),Tabelle210[[#This Row],[Entfernung (km) gesamt]], 0), 0)*Tabelle210[[#This Row],[Anzahl Studierende ]]</f>
        <v>0</v>
      </c>
      <c r="P29">
        <f>IF(Tabelle210[[#This Row],[Verkehrsmittel]]="Flug", IF(AND(Tabelle210[[#This Row],[Entfernung (km) einfach]]&gt;1000,Tabelle210[[#This Row],[Entfernung (km) einfach]]&lt;2000),Tabelle210[[#This Row],[Entfernung (km) gesamt]], 0), 0)*Tabelle210[[#This Row],[Anzahl Studierende ]]</f>
        <v>0</v>
      </c>
      <c r="Q29">
        <f>IF(Tabelle210[[#This Row],[Verkehrsmittel]]="Flug", IF(AND(Tabelle210[[#This Row],[Entfernung (km) einfach]]&gt;2000,Tabelle210[[#This Row],[Entfernung (km) einfach]]&lt;5000),Tabelle210[[#This Row],[Entfernung (km) gesamt]], 0), 0)*Tabelle210[[#This Row],[Anzahl Studierende ]]</f>
        <v>0</v>
      </c>
      <c r="R29">
        <f>IF(Tabelle210[[#This Row],[Verkehrsmittel]]="Flug", IF(AND(Tabelle210[[#This Row],[Entfernung (km) einfach]]&gt;5000,Tabelle210[[#This Row],[Entfernung (km) einfach]]&lt;10000),Tabelle210[[#This Row],[Entfernung (km) gesamt]], 0), 0)*Tabelle210[[#This Row],[Anzahl Studierende ]]</f>
        <v>0</v>
      </c>
      <c r="S29">
        <f>IF(Tabelle210[[#This Row],[Verkehrsmittel]]="Flug", IF(AND(Tabelle210[[#This Row],[Entfernung (km) einfach]]&gt;10000),Tabelle210[[#This Row],[Entfernung (km) gesamt]]), 0)*Tabelle210[[#This Row],[Anzahl Studierende ]]</f>
        <v>0</v>
      </c>
      <c r="T29">
        <f>IF(Tabelle210[[#This Row],[Verkehrsmittel]]="Motorrad",Tabelle210[[#This Row],[Entfernung (km) gesamt]],0)*Tabelle210[[#This Row],[Anzahl Studierende ]]</f>
        <v>0</v>
      </c>
      <c r="U29">
        <f>IF(Tabelle210[[#This Row],[Verkehrsmittel]]="Straßen-, S-, U-Bahn",Tabelle210[[#This Row],[Entfernung (km) gesamt]],0)*Tabelle210[[#This Row],[Anzahl Studierende ]]</f>
        <v>0</v>
      </c>
      <c r="V29">
        <f>IF(Tabelle210[[#This Row],[Verkehrsmittel]]="Fahrrad",Tabelle210[[#This Row],[Entfernung (km) gesamt]],0)*Tabelle210[[#This Row],[Anzahl Studierende ]]</f>
        <v>0</v>
      </c>
    </row>
    <row r="30" spans="2:22">
      <c r="B30" s="138"/>
      <c r="C30" s="139"/>
      <c r="D30" s="160"/>
      <c r="E30" s="111"/>
      <c r="F30" s="111"/>
      <c r="G30" s="111"/>
      <c r="H30" s="111">
        <f>Tabelle210[[#This Row],[Entfernung (km) einfach]]*2</f>
        <v>0</v>
      </c>
      <c r="I30" s="111"/>
      <c r="J30" s="140"/>
      <c r="K30">
        <f>IF(Tabelle210[[#This Row],[Verkehrsmittel]]="Bus",Tabelle210[[#This Row],[Entfernung (km) gesamt]],0)*Tabelle210[[#This Row],[Anzahl Studierende ]]</f>
        <v>0</v>
      </c>
      <c r="L30">
        <f>IF(Tabelle210[[#This Row],[Verkehrsmittel]]="Bahn",Tabelle210[[#This Row],[Anzahl Studierende ]]*Tabelle210[[#This Row],[Entfernung (km) gesamt]],0)</f>
        <v>0</v>
      </c>
      <c r="M30">
        <f>IF(Tabelle210[[#This Row],[Verkehrsmittel]]="PKW",Tabelle210[[#This Row],[Anzahl Studierende ]]*Tabelle210[[#This Row],[Entfernung (km) gesamt]],0)</f>
        <v>0</v>
      </c>
      <c r="N30">
        <f>IF(Tabelle210[[#This Row],[Verkehrsmittel]]="Flug", IF(AND(Tabelle210[[#This Row],[Entfernung (km) einfach]]&lt;500),Tabelle210[[#This Row],[Entfernung (km) gesamt]]), 0)*Tabelle210[[#This Row],[Anzahl Studierende ]]</f>
        <v>0</v>
      </c>
      <c r="O30">
        <f>IF(Tabelle210[[#This Row],[Verkehrsmittel]]="Flug", IF(AND(Tabelle210[[#This Row],[Entfernung (km) einfach]]&gt;500,Tabelle210[[#This Row],[Entfernung (km) einfach]]&lt;1000),Tabelle210[[#This Row],[Entfernung (km) gesamt]], 0), 0)*Tabelle210[[#This Row],[Anzahl Studierende ]]</f>
        <v>0</v>
      </c>
      <c r="P30">
        <f>IF(Tabelle210[[#This Row],[Verkehrsmittel]]="Flug", IF(AND(Tabelle210[[#This Row],[Entfernung (km) einfach]]&gt;1000,Tabelle210[[#This Row],[Entfernung (km) einfach]]&lt;2000),Tabelle210[[#This Row],[Entfernung (km) gesamt]], 0), 0)*Tabelle210[[#This Row],[Anzahl Studierende ]]</f>
        <v>0</v>
      </c>
      <c r="Q30">
        <f>IF(Tabelle210[[#This Row],[Verkehrsmittel]]="Flug", IF(AND(Tabelle210[[#This Row],[Entfernung (km) einfach]]&gt;2000,Tabelle210[[#This Row],[Entfernung (km) einfach]]&lt;5000),Tabelle210[[#This Row],[Entfernung (km) gesamt]], 0), 0)*Tabelle210[[#This Row],[Anzahl Studierende ]]</f>
        <v>0</v>
      </c>
      <c r="R30">
        <f>IF(Tabelle210[[#This Row],[Verkehrsmittel]]="Flug", IF(AND(Tabelle210[[#This Row],[Entfernung (km) einfach]]&gt;5000,Tabelle210[[#This Row],[Entfernung (km) einfach]]&lt;10000),Tabelle210[[#This Row],[Entfernung (km) gesamt]], 0), 0)*Tabelle210[[#This Row],[Anzahl Studierende ]]</f>
        <v>0</v>
      </c>
      <c r="S30">
        <f>IF(Tabelle210[[#This Row],[Verkehrsmittel]]="Flug", IF(AND(Tabelle210[[#This Row],[Entfernung (km) einfach]]&gt;10000),Tabelle210[[#This Row],[Entfernung (km) gesamt]]), 0)*Tabelle210[[#This Row],[Anzahl Studierende ]]</f>
        <v>0</v>
      </c>
      <c r="T30">
        <f>IF(Tabelle210[[#This Row],[Verkehrsmittel]]="Motorrad",Tabelle210[[#This Row],[Entfernung (km) gesamt]],0)*Tabelle210[[#This Row],[Anzahl Studierende ]]</f>
        <v>0</v>
      </c>
      <c r="U30">
        <f>IF(Tabelle210[[#This Row],[Verkehrsmittel]]="Straßen-, S-, U-Bahn",Tabelle210[[#This Row],[Entfernung (km) gesamt]],0)*Tabelle210[[#This Row],[Anzahl Studierende ]]</f>
        <v>0</v>
      </c>
      <c r="V30">
        <f>IF(Tabelle210[[#This Row],[Verkehrsmittel]]="Fahrrad",Tabelle210[[#This Row],[Entfernung (km) gesamt]],0)*Tabelle210[[#This Row],[Anzahl Studierende ]]</f>
        <v>0</v>
      </c>
    </row>
    <row r="31" spans="2:22">
      <c r="B31" s="138"/>
      <c r="C31" s="139"/>
      <c r="D31" s="160"/>
      <c r="E31" s="111"/>
      <c r="F31" s="111"/>
      <c r="G31" s="111"/>
      <c r="H31" s="111">
        <f>Tabelle210[[#This Row],[Entfernung (km) einfach]]*2</f>
        <v>0</v>
      </c>
      <c r="I31" s="111"/>
      <c r="J31" s="140"/>
      <c r="K31">
        <f>IF(Tabelle210[[#This Row],[Verkehrsmittel]]="Bus",Tabelle210[[#This Row],[Entfernung (km) gesamt]],0)*Tabelle210[[#This Row],[Anzahl Studierende ]]</f>
        <v>0</v>
      </c>
      <c r="L31">
        <f>IF(Tabelle210[[#This Row],[Verkehrsmittel]]="Bahn",Tabelle210[[#This Row],[Anzahl Studierende ]]*Tabelle210[[#This Row],[Entfernung (km) gesamt]],0)</f>
        <v>0</v>
      </c>
      <c r="M31">
        <f>IF(Tabelle210[[#This Row],[Verkehrsmittel]]="PKW",Tabelle210[[#This Row],[Anzahl Studierende ]]*Tabelle210[[#This Row],[Entfernung (km) gesamt]],0)</f>
        <v>0</v>
      </c>
      <c r="N31">
        <f>IF(Tabelle210[[#This Row],[Verkehrsmittel]]="Flug", IF(AND(Tabelle210[[#This Row],[Entfernung (km) einfach]]&lt;500),Tabelle210[[#This Row],[Entfernung (km) gesamt]]), 0)*Tabelle210[[#This Row],[Anzahl Studierende ]]</f>
        <v>0</v>
      </c>
      <c r="O31">
        <f>IF(Tabelle210[[#This Row],[Verkehrsmittel]]="Flug", IF(AND(Tabelle210[[#This Row],[Entfernung (km) einfach]]&gt;500,Tabelle210[[#This Row],[Entfernung (km) einfach]]&lt;1000),Tabelle210[[#This Row],[Entfernung (km) gesamt]], 0), 0)*Tabelle210[[#This Row],[Anzahl Studierende ]]</f>
        <v>0</v>
      </c>
      <c r="P31">
        <f>IF(Tabelle210[[#This Row],[Verkehrsmittel]]="Flug", IF(AND(Tabelle210[[#This Row],[Entfernung (km) einfach]]&gt;1000,Tabelle210[[#This Row],[Entfernung (km) einfach]]&lt;2000),Tabelle210[[#This Row],[Entfernung (km) gesamt]], 0), 0)*Tabelle210[[#This Row],[Anzahl Studierende ]]</f>
        <v>0</v>
      </c>
      <c r="Q31">
        <f>IF(Tabelle210[[#This Row],[Verkehrsmittel]]="Flug", IF(AND(Tabelle210[[#This Row],[Entfernung (km) einfach]]&gt;2000,Tabelle210[[#This Row],[Entfernung (km) einfach]]&lt;5000),Tabelle210[[#This Row],[Entfernung (km) gesamt]], 0), 0)*Tabelle210[[#This Row],[Anzahl Studierende ]]</f>
        <v>0</v>
      </c>
      <c r="R31">
        <f>IF(Tabelle210[[#This Row],[Verkehrsmittel]]="Flug", IF(AND(Tabelle210[[#This Row],[Entfernung (km) einfach]]&gt;5000,Tabelle210[[#This Row],[Entfernung (km) einfach]]&lt;10000),Tabelle210[[#This Row],[Entfernung (km) gesamt]], 0), 0)*Tabelle210[[#This Row],[Anzahl Studierende ]]</f>
        <v>0</v>
      </c>
      <c r="S31">
        <f>IF(Tabelle210[[#This Row],[Verkehrsmittel]]="Flug", IF(AND(Tabelle210[[#This Row],[Entfernung (km) einfach]]&gt;10000),Tabelle210[[#This Row],[Entfernung (km) gesamt]]), 0)*Tabelle210[[#This Row],[Anzahl Studierende ]]</f>
        <v>0</v>
      </c>
      <c r="T31">
        <f>IF(Tabelle210[[#This Row],[Verkehrsmittel]]="Motorrad",Tabelle210[[#This Row],[Entfernung (km) gesamt]],0)*Tabelle210[[#This Row],[Anzahl Studierende ]]</f>
        <v>0</v>
      </c>
      <c r="U31">
        <f>IF(Tabelle210[[#This Row],[Verkehrsmittel]]="Straßen-, S-, U-Bahn",Tabelle210[[#This Row],[Entfernung (km) gesamt]],0)*Tabelle210[[#This Row],[Anzahl Studierende ]]</f>
        <v>0</v>
      </c>
      <c r="V31">
        <f>IF(Tabelle210[[#This Row],[Verkehrsmittel]]="Fahrrad",Tabelle210[[#This Row],[Entfernung (km) gesamt]],0)*Tabelle210[[#This Row],[Anzahl Studierende ]]</f>
        <v>0</v>
      </c>
    </row>
    <row r="32" spans="2:22">
      <c r="B32" s="138"/>
      <c r="C32" s="139"/>
      <c r="D32" s="160"/>
      <c r="E32" s="111"/>
      <c r="F32" s="111"/>
      <c r="G32" s="111"/>
      <c r="H32" s="117">
        <f>Tabelle210[[#This Row],[Entfernung (km) einfach]]*2</f>
        <v>0</v>
      </c>
      <c r="I32" s="111"/>
      <c r="J32" s="140"/>
      <c r="K32">
        <f>IF(Tabelle210[[#This Row],[Verkehrsmittel]]="Bus",Tabelle210[[#This Row],[Entfernung (km) gesamt]],0)*Tabelle210[[#This Row],[Anzahl Studierende ]]</f>
        <v>0</v>
      </c>
      <c r="L32">
        <f>IF(Tabelle210[[#This Row],[Verkehrsmittel]]="Bahn",Tabelle210[[#This Row],[Anzahl Studierende ]]*Tabelle210[[#This Row],[Entfernung (km) gesamt]],0)</f>
        <v>0</v>
      </c>
      <c r="M32">
        <f>IF(Tabelle210[[#This Row],[Verkehrsmittel]]="PKW",Tabelle210[[#This Row],[Anzahl Studierende ]]*Tabelle210[[#This Row],[Entfernung (km) gesamt]],0)</f>
        <v>0</v>
      </c>
      <c r="N32">
        <f>IF(Tabelle210[[#This Row],[Verkehrsmittel]]="Flug", IF(AND(Tabelle210[[#This Row],[Entfernung (km) einfach]]&lt;500),Tabelle210[[#This Row],[Entfernung (km) gesamt]]), 0)*Tabelle210[[#This Row],[Anzahl Studierende ]]</f>
        <v>0</v>
      </c>
      <c r="O32">
        <f>IF(Tabelle210[[#This Row],[Verkehrsmittel]]="Flug", IF(AND(Tabelle210[[#This Row],[Entfernung (km) einfach]]&gt;500,Tabelle210[[#This Row],[Entfernung (km) einfach]]&lt;1000),Tabelle210[[#This Row],[Entfernung (km) gesamt]], 0), 0)*Tabelle210[[#This Row],[Anzahl Studierende ]]</f>
        <v>0</v>
      </c>
      <c r="P32">
        <f>IF(Tabelle210[[#This Row],[Verkehrsmittel]]="Flug", IF(AND(Tabelle210[[#This Row],[Entfernung (km) einfach]]&gt;1000,Tabelle210[[#This Row],[Entfernung (km) einfach]]&lt;2000),Tabelle210[[#This Row],[Entfernung (km) gesamt]], 0), 0)*Tabelle210[[#This Row],[Anzahl Studierende ]]</f>
        <v>0</v>
      </c>
      <c r="Q32">
        <f>IF(Tabelle210[[#This Row],[Verkehrsmittel]]="Flug", IF(AND(Tabelle210[[#This Row],[Entfernung (km) einfach]]&gt;2000,Tabelle210[[#This Row],[Entfernung (km) einfach]]&lt;5000),Tabelle210[[#This Row],[Entfernung (km) gesamt]], 0), 0)*Tabelle210[[#This Row],[Anzahl Studierende ]]</f>
        <v>0</v>
      </c>
      <c r="R32">
        <f>IF(Tabelle210[[#This Row],[Verkehrsmittel]]="Flug", IF(AND(Tabelle210[[#This Row],[Entfernung (km) einfach]]&gt;5000,Tabelle210[[#This Row],[Entfernung (km) einfach]]&lt;10000),Tabelle210[[#This Row],[Entfernung (km) gesamt]], 0), 0)*Tabelle210[[#This Row],[Anzahl Studierende ]]</f>
        <v>0</v>
      </c>
      <c r="S32">
        <f>IF(Tabelle210[[#This Row],[Verkehrsmittel]]="Flug", IF(AND(Tabelle210[[#This Row],[Entfernung (km) einfach]]&gt;10000),Tabelle210[[#This Row],[Entfernung (km) gesamt]]), 0)*Tabelle210[[#This Row],[Anzahl Studierende ]]</f>
        <v>0</v>
      </c>
      <c r="T32">
        <f>IF(Tabelle210[[#This Row],[Verkehrsmittel]]="Motorrad",Tabelle210[[#This Row],[Entfernung (km) gesamt]],0)*Tabelle210[[#This Row],[Anzahl Studierende ]]</f>
        <v>0</v>
      </c>
      <c r="U32">
        <f>IF(Tabelle210[[#This Row],[Verkehrsmittel]]="Straßen-, S-, U-Bahn",Tabelle210[[#This Row],[Entfernung (km) gesamt]],0)*Tabelle210[[#This Row],[Anzahl Studierende ]]</f>
        <v>0</v>
      </c>
      <c r="V32">
        <f>IF(Tabelle210[[#This Row],[Verkehrsmittel]]="Fahrrad",Tabelle210[[#This Row],[Entfernung (km) gesamt]],0)*Tabelle210[[#This Row],[Anzahl Studierende ]]</f>
        <v>0</v>
      </c>
    </row>
    <row r="33" spans="2:22" ht="15.6">
      <c r="B33" s="138"/>
      <c r="C33" s="139"/>
      <c r="D33" s="160"/>
      <c r="E33" s="111"/>
      <c r="F33" s="111"/>
      <c r="G33" s="111"/>
      <c r="H33" s="117">
        <f>Tabelle210[[#This Row],[Entfernung (km) einfach]]*2</f>
        <v>0</v>
      </c>
      <c r="I33" s="111"/>
      <c r="J33" s="140"/>
      <c r="K33">
        <f>IF(Tabelle210[[#This Row],[Verkehrsmittel]]="Bus",Tabelle210[[#This Row],[Entfernung (km) gesamt]],0)*Tabelle210[[#This Row],[Anzahl Studierende ]]</f>
        <v>0</v>
      </c>
      <c r="L33" s="13">
        <f>IF(Tabelle210[[#This Row],[Verkehrsmittel]]="Bahn",Tabelle210[[#This Row],[Anzahl Studierende ]]*Tabelle210[[#This Row],[Entfernung (km) gesamt]],0)</f>
        <v>0</v>
      </c>
      <c r="M33" s="13">
        <f>IF(Tabelle210[[#This Row],[Verkehrsmittel]]="PKW",Tabelle210[[#This Row],[Anzahl Studierende ]]*Tabelle210[[#This Row],[Entfernung (km) gesamt]],0)</f>
        <v>0</v>
      </c>
      <c r="N33" s="13">
        <f>IF(Tabelle210[[#This Row],[Verkehrsmittel]]="Flug", IF(AND(Tabelle210[[#This Row],[Entfernung (km) einfach]]&lt;500),Tabelle210[[#This Row],[Entfernung (km) gesamt]]), 0)*Tabelle210[[#This Row],[Anzahl Studierende ]]</f>
        <v>0</v>
      </c>
      <c r="O33" s="13">
        <f>IF(Tabelle210[[#This Row],[Verkehrsmittel]]="Flug", IF(AND(Tabelle210[[#This Row],[Entfernung (km) einfach]]&gt;500,Tabelle210[[#This Row],[Entfernung (km) einfach]]&lt;1000),Tabelle210[[#This Row],[Entfernung (km) gesamt]], 0), 0)*Tabelle210[[#This Row],[Anzahl Studierende ]]</f>
        <v>0</v>
      </c>
      <c r="P33" s="7">
        <f>IF(Tabelle210[[#This Row],[Verkehrsmittel]]="Flug", IF(AND(Tabelle210[[#This Row],[Entfernung (km) einfach]]&gt;1000,Tabelle210[[#This Row],[Entfernung (km) einfach]]&lt;2000),Tabelle210[[#This Row],[Entfernung (km) gesamt]], 0), 0)*Tabelle210[[#This Row],[Anzahl Studierende ]]</f>
        <v>0</v>
      </c>
      <c r="Q33" s="13">
        <f>IF(Tabelle210[[#This Row],[Verkehrsmittel]]="Flug", IF(AND(Tabelle210[[#This Row],[Entfernung (km) einfach]]&gt;2000,Tabelle210[[#This Row],[Entfernung (km) einfach]]&lt;5000),Tabelle210[[#This Row],[Entfernung (km) gesamt]], 0), 0)*Tabelle210[[#This Row],[Anzahl Studierende ]]</f>
        <v>0</v>
      </c>
      <c r="R33" s="7">
        <f>IF(Tabelle210[[#This Row],[Verkehrsmittel]]="Flug", IF(AND(Tabelle210[[#This Row],[Entfernung (km) einfach]]&gt;5000,Tabelle210[[#This Row],[Entfernung (km) einfach]]&lt;10000),Tabelle210[[#This Row],[Entfernung (km) gesamt]], 0), 0)*Tabelle210[[#This Row],[Anzahl Studierende ]]</f>
        <v>0</v>
      </c>
      <c r="S33" s="13">
        <f>IF(Tabelle210[[#This Row],[Verkehrsmittel]]="Flug", IF(AND(Tabelle210[[#This Row],[Entfernung (km) einfach]]&gt;10000),Tabelle210[[#This Row],[Entfernung (km) gesamt]]), 0)*Tabelle210[[#This Row],[Anzahl Studierende ]]</f>
        <v>0</v>
      </c>
      <c r="T33">
        <f>IF(Tabelle210[[#This Row],[Verkehrsmittel]]="Motorrad",Tabelle210[[#This Row],[Entfernung (km) gesamt]],0)*Tabelle210[[#This Row],[Anzahl Studierende ]]</f>
        <v>0</v>
      </c>
      <c r="U33">
        <f>IF(Tabelle210[[#This Row],[Verkehrsmittel]]="Straßen-, S-, U-Bahn",Tabelle210[[#This Row],[Entfernung (km) gesamt]],0)*Tabelle210[[#This Row],[Anzahl Studierende ]]</f>
        <v>0</v>
      </c>
      <c r="V33">
        <f>IF(Tabelle210[[#This Row],[Verkehrsmittel]]="Fahrrad",Tabelle210[[#This Row],[Entfernung (km) gesamt]],0)*Tabelle210[[#This Row],[Anzahl Studierende ]]</f>
        <v>0</v>
      </c>
    </row>
    <row r="34" spans="2:22">
      <c r="B34" s="138"/>
      <c r="C34" s="139"/>
      <c r="D34" s="160"/>
      <c r="E34" s="111"/>
      <c r="F34" s="111"/>
      <c r="G34" s="111"/>
      <c r="H34" s="117">
        <f>Tabelle210[[#This Row],[Entfernung (km) einfach]]*2</f>
        <v>0</v>
      </c>
      <c r="I34" s="111"/>
      <c r="J34" s="140"/>
      <c r="K34">
        <f>IF(Tabelle210[[#This Row],[Verkehrsmittel]]="Bus",Tabelle210[[#This Row],[Entfernung (km) gesamt]],0)*Tabelle210[[#This Row],[Anzahl Studierende ]]</f>
        <v>0</v>
      </c>
      <c r="L34">
        <f>IF(Tabelle210[[#This Row],[Verkehrsmittel]]="Bahn",Tabelle210[[#This Row],[Anzahl Studierende ]]*Tabelle210[[#This Row],[Entfernung (km) gesamt]],0)</f>
        <v>0</v>
      </c>
      <c r="M34">
        <f>IF(Tabelle210[[#This Row],[Verkehrsmittel]]="PKW",Tabelle210[[#This Row],[Anzahl Studierende ]]*Tabelle210[[#This Row],[Entfernung (km) gesamt]],0)</f>
        <v>0</v>
      </c>
      <c r="N34" s="13">
        <f>IF(Tabelle210[[#This Row],[Verkehrsmittel]]="Flug", IF(AND(Tabelle210[[#This Row],[Entfernung (km) einfach]]&lt;500),Tabelle210[[#This Row],[Entfernung (km) gesamt]]), 0)*Tabelle210[[#This Row],[Anzahl Studierende ]]</f>
        <v>0</v>
      </c>
      <c r="O34">
        <f>IF(Tabelle210[[#This Row],[Verkehrsmittel]]="Flug", IF(AND(Tabelle210[[#This Row],[Entfernung (km) einfach]]&gt;500,Tabelle210[[#This Row],[Entfernung (km) einfach]]&lt;1000),Tabelle210[[#This Row],[Entfernung (km) gesamt]], 0), 0)*Tabelle210[[#This Row],[Anzahl Studierende ]]</f>
        <v>0</v>
      </c>
      <c r="P34">
        <f>IF(Tabelle210[[#This Row],[Verkehrsmittel]]="Flug", IF(AND(Tabelle210[[#This Row],[Entfernung (km) einfach]]&gt;1000,Tabelle210[[#This Row],[Entfernung (km) einfach]]&lt;2000),Tabelle210[[#This Row],[Entfernung (km) gesamt]], 0), 0)*Tabelle210[[#This Row],[Anzahl Studierende ]]</f>
        <v>0</v>
      </c>
      <c r="Q34">
        <f>IF(Tabelle210[[#This Row],[Verkehrsmittel]]="Flug", IF(AND(Tabelle210[[#This Row],[Entfernung (km) einfach]]&gt;2000,Tabelle210[[#This Row],[Entfernung (km) einfach]]&lt;5000),Tabelle210[[#This Row],[Entfernung (km) gesamt]], 0), 0)*Tabelle210[[#This Row],[Anzahl Studierende ]]</f>
        <v>0</v>
      </c>
      <c r="R34">
        <f>IF(Tabelle210[[#This Row],[Verkehrsmittel]]="Flug", IF(AND(Tabelle210[[#This Row],[Entfernung (km) einfach]]&gt;5000,Tabelle210[[#This Row],[Entfernung (km) einfach]]&lt;10000),Tabelle210[[#This Row],[Entfernung (km) gesamt]], 0), 0)*Tabelle210[[#This Row],[Anzahl Studierende ]]</f>
        <v>0</v>
      </c>
      <c r="S34">
        <f>IF(Tabelle210[[#This Row],[Verkehrsmittel]]="Flug", IF(AND(Tabelle210[[#This Row],[Entfernung (km) einfach]]&gt;10000),Tabelle210[[#This Row],[Entfernung (km) gesamt]]), 0)*Tabelle210[[#This Row],[Anzahl Studierende ]]</f>
        <v>0</v>
      </c>
      <c r="T34">
        <f>IF(Tabelle210[[#This Row],[Verkehrsmittel]]="Motorrad",Tabelle210[[#This Row],[Entfernung (km) gesamt]],0)*Tabelle210[[#This Row],[Anzahl Studierende ]]</f>
        <v>0</v>
      </c>
      <c r="U34">
        <f>IF(Tabelle210[[#This Row],[Verkehrsmittel]]="Straßen-, S-, U-Bahn",Tabelle210[[#This Row],[Entfernung (km) gesamt]],0)*Tabelle210[[#This Row],[Anzahl Studierende ]]</f>
        <v>0</v>
      </c>
      <c r="V34">
        <f>IF(Tabelle210[[#This Row],[Verkehrsmittel]]="Fahrrad",Tabelle210[[#This Row],[Entfernung (km) gesamt]],0)*Tabelle210[[#This Row],[Anzahl Studierende ]]</f>
        <v>0</v>
      </c>
    </row>
    <row r="35" spans="2:22">
      <c r="B35" s="138"/>
      <c r="C35" s="139"/>
      <c r="D35" s="160"/>
      <c r="E35" s="111"/>
      <c r="F35" s="111"/>
      <c r="G35" s="111"/>
      <c r="H35" s="117">
        <f>Tabelle210[[#This Row],[Entfernung (km) einfach]]*2</f>
        <v>0</v>
      </c>
      <c r="I35" s="111"/>
      <c r="J35" s="140"/>
      <c r="K35">
        <f>IF(Tabelle210[[#This Row],[Verkehrsmittel]]="Bus",Tabelle210[[#This Row],[Entfernung (km) gesamt]],0)*Tabelle210[[#This Row],[Anzahl Studierende ]]</f>
        <v>0</v>
      </c>
      <c r="L35">
        <f>IF(Tabelle210[[#This Row],[Verkehrsmittel]]="Bahn",Tabelle210[[#This Row],[Anzahl Studierende ]]*Tabelle210[[#This Row],[Entfernung (km) gesamt]],0)</f>
        <v>0</v>
      </c>
      <c r="M35">
        <f>IF(Tabelle210[[#This Row],[Verkehrsmittel]]="PKW",Tabelle210[[#This Row],[Anzahl Studierende ]]*Tabelle210[[#This Row],[Entfernung (km) gesamt]],0)</f>
        <v>0</v>
      </c>
      <c r="N35" s="13">
        <f>IF(Tabelle210[[#This Row],[Verkehrsmittel]]="Flug", IF(AND(Tabelle210[[#This Row],[Entfernung (km) einfach]]&lt;500),Tabelle210[[#This Row],[Entfernung (km) gesamt]]), 0)*Tabelle210[[#This Row],[Anzahl Studierende ]]</f>
        <v>0</v>
      </c>
      <c r="O35">
        <f>IF(Tabelle210[[#This Row],[Verkehrsmittel]]="Flug", IF(AND(Tabelle210[[#This Row],[Entfernung (km) einfach]]&gt;500,Tabelle210[[#This Row],[Entfernung (km) einfach]]&lt;1000),Tabelle210[[#This Row],[Entfernung (km) gesamt]], 0), 0)*Tabelle210[[#This Row],[Anzahl Studierende ]]</f>
        <v>0</v>
      </c>
      <c r="P35">
        <f>IF(Tabelle210[[#This Row],[Verkehrsmittel]]="Flug", IF(AND(Tabelle210[[#This Row],[Entfernung (km) einfach]]&gt;1000,Tabelle210[[#This Row],[Entfernung (km) einfach]]&lt;2000),Tabelle210[[#This Row],[Entfernung (km) gesamt]], 0), 0)*Tabelle210[[#This Row],[Anzahl Studierende ]]</f>
        <v>0</v>
      </c>
      <c r="Q35">
        <f>IF(Tabelle210[[#This Row],[Verkehrsmittel]]="Flug", IF(AND(Tabelle210[[#This Row],[Entfernung (km) einfach]]&gt;2000,Tabelle210[[#This Row],[Entfernung (km) einfach]]&lt;5000),Tabelle210[[#This Row],[Entfernung (km) gesamt]], 0), 0)*Tabelle210[[#This Row],[Anzahl Studierende ]]</f>
        <v>0</v>
      </c>
      <c r="R35">
        <f>IF(Tabelle210[[#This Row],[Verkehrsmittel]]="Flug", IF(AND(Tabelle210[[#This Row],[Entfernung (km) einfach]]&gt;5000,Tabelle210[[#This Row],[Entfernung (km) einfach]]&lt;10000),Tabelle210[[#This Row],[Entfernung (km) gesamt]], 0), 0)*Tabelle210[[#This Row],[Anzahl Studierende ]]</f>
        <v>0</v>
      </c>
      <c r="S35">
        <f>IF(Tabelle210[[#This Row],[Verkehrsmittel]]="Flug", IF(AND(Tabelle210[[#This Row],[Entfernung (km) einfach]]&gt;10000),Tabelle210[[#This Row],[Entfernung (km) gesamt]]), 0)*Tabelle210[[#This Row],[Anzahl Studierende ]]</f>
        <v>0</v>
      </c>
      <c r="T35">
        <f>IF(Tabelle210[[#This Row],[Verkehrsmittel]]="Motorrad",Tabelle210[[#This Row],[Entfernung (km) gesamt]],0)*Tabelle210[[#This Row],[Anzahl Studierende ]]</f>
        <v>0</v>
      </c>
      <c r="U35">
        <f>IF(Tabelle210[[#This Row],[Verkehrsmittel]]="Straßen-, S-, U-Bahn",Tabelle210[[#This Row],[Entfernung (km) gesamt]],0)*Tabelle210[[#This Row],[Anzahl Studierende ]]</f>
        <v>0</v>
      </c>
      <c r="V35">
        <f>IF(Tabelle210[[#This Row],[Verkehrsmittel]]="Fahrrad",Tabelle210[[#This Row],[Entfernung (km) gesamt]],0)*Tabelle210[[#This Row],[Anzahl Studierende ]]</f>
        <v>0</v>
      </c>
    </row>
    <row r="36" spans="2:22">
      <c r="B36" s="138"/>
      <c r="C36" s="139"/>
      <c r="D36" s="160"/>
      <c r="E36" s="111"/>
      <c r="F36" s="111"/>
      <c r="G36" s="111"/>
      <c r="H36" s="117">
        <f>Tabelle210[[#This Row],[Entfernung (km) einfach]]*2</f>
        <v>0</v>
      </c>
      <c r="I36" s="111"/>
      <c r="J36" s="140"/>
      <c r="K36">
        <f>IF(Tabelle210[[#This Row],[Verkehrsmittel]]="Bus",Tabelle210[[#This Row],[Entfernung (km) gesamt]],0)*Tabelle210[[#This Row],[Anzahl Studierende ]]</f>
        <v>0</v>
      </c>
      <c r="L36">
        <f>IF(Tabelle210[[#This Row],[Verkehrsmittel]]="Bahn",Tabelle210[[#This Row],[Anzahl Studierende ]]*Tabelle210[[#This Row],[Entfernung (km) gesamt]],0)</f>
        <v>0</v>
      </c>
      <c r="M36">
        <f>IF(Tabelle210[[#This Row],[Verkehrsmittel]]="PKW",Tabelle210[[#This Row],[Anzahl Studierende ]]*Tabelle210[[#This Row],[Entfernung (km) gesamt]],0)</f>
        <v>0</v>
      </c>
      <c r="N36" s="13">
        <f>IF(Tabelle210[[#This Row],[Verkehrsmittel]]="Flug", IF(AND(Tabelle210[[#This Row],[Entfernung (km) einfach]]&lt;500),Tabelle210[[#This Row],[Entfernung (km) gesamt]]), 0)*Tabelle210[[#This Row],[Anzahl Studierende ]]</f>
        <v>0</v>
      </c>
      <c r="O36">
        <f>IF(Tabelle210[[#This Row],[Verkehrsmittel]]="Flug", IF(AND(Tabelle210[[#This Row],[Entfernung (km) einfach]]&gt;500,Tabelle210[[#This Row],[Entfernung (km) einfach]]&lt;1000),Tabelle210[[#This Row],[Entfernung (km) gesamt]], 0), 0)*Tabelle210[[#This Row],[Anzahl Studierende ]]</f>
        <v>0</v>
      </c>
      <c r="P36">
        <f>IF(Tabelle210[[#This Row],[Verkehrsmittel]]="Flug", IF(AND(Tabelle210[[#This Row],[Entfernung (km) einfach]]&gt;1000,Tabelle210[[#This Row],[Entfernung (km) einfach]]&lt;2000),Tabelle210[[#This Row],[Entfernung (km) gesamt]], 0), 0)*Tabelle210[[#This Row],[Anzahl Studierende ]]</f>
        <v>0</v>
      </c>
      <c r="Q36">
        <f>IF(Tabelle210[[#This Row],[Verkehrsmittel]]="Flug", IF(AND(Tabelle210[[#This Row],[Entfernung (km) einfach]]&gt;2000,Tabelle210[[#This Row],[Entfernung (km) einfach]]&lt;5000),Tabelle210[[#This Row],[Entfernung (km) gesamt]], 0), 0)*Tabelle210[[#This Row],[Anzahl Studierende ]]</f>
        <v>0</v>
      </c>
      <c r="R36">
        <f>IF(Tabelle210[[#This Row],[Verkehrsmittel]]="Flug", IF(AND(Tabelle210[[#This Row],[Entfernung (km) einfach]]&gt;5000,Tabelle210[[#This Row],[Entfernung (km) einfach]]&lt;10000),Tabelle210[[#This Row],[Entfernung (km) gesamt]], 0), 0)*Tabelle210[[#This Row],[Anzahl Studierende ]]</f>
        <v>0</v>
      </c>
      <c r="S36">
        <f>IF(Tabelle210[[#This Row],[Verkehrsmittel]]="Flug", IF(AND(Tabelle210[[#This Row],[Entfernung (km) einfach]]&gt;10000),Tabelle210[[#This Row],[Entfernung (km) gesamt]]), 0)*Tabelle210[[#This Row],[Anzahl Studierende ]]</f>
        <v>0</v>
      </c>
      <c r="T36">
        <f>IF(Tabelle210[[#This Row],[Verkehrsmittel]]="Motorrad",Tabelle210[[#This Row],[Entfernung (km) gesamt]],0)*Tabelle210[[#This Row],[Anzahl Studierende ]]</f>
        <v>0</v>
      </c>
      <c r="U36">
        <f>IF(Tabelle210[[#This Row],[Verkehrsmittel]]="Straßen-, S-, U-Bahn",Tabelle210[[#This Row],[Entfernung (km) gesamt]],0)*Tabelle210[[#This Row],[Anzahl Studierende ]]</f>
        <v>0</v>
      </c>
      <c r="V36">
        <f>IF(Tabelle210[[#This Row],[Verkehrsmittel]]="Fahrrad",Tabelle210[[#This Row],[Entfernung (km) gesamt]],0)*Tabelle210[[#This Row],[Anzahl Studierende ]]</f>
        <v>0</v>
      </c>
    </row>
    <row r="37" spans="2:22">
      <c r="B37" s="138"/>
      <c r="C37" s="139"/>
      <c r="D37" s="160"/>
      <c r="E37" s="111"/>
      <c r="F37" s="111"/>
      <c r="G37" s="111"/>
      <c r="H37" s="117">
        <f>Tabelle210[[#This Row],[Entfernung (km) einfach]]*2</f>
        <v>0</v>
      </c>
      <c r="I37" s="111"/>
      <c r="J37" s="140"/>
      <c r="K37">
        <f>IF(Tabelle210[[#This Row],[Verkehrsmittel]]="Bus",Tabelle210[[#This Row],[Entfernung (km) gesamt]],0)*Tabelle210[[#This Row],[Anzahl Studierende ]]</f>
        <v>0</v>
      </c>
      <c r="L37">
        <f>IF(Tabelle210[[#This Row],[Verkehrsmittel]]="Bahn",Tabelle210[[#This Row],[Anzahl Studierende ]]*Tabelle210[[#This Row],[Entfernung (km) gesamt]],0)</f>
        <v>0</v>
      </c>
      <c r="M37">
        <f>IF(Tabelle210[[#This Row],[Verkehrsmittel]]="PKW",Tabelle210[[#This Row],[Anzahl Studierende ]]*Tabelle210[[#This Row],[Entfernung (km) gesamt]],0)</f>
        <v>0</v>
      </c>
      <c r="N37" s="13">
        <f>IF(Tabelle210[[#This Row],[Verkehrsmittel]]="Flug", IF(AND(Tabelle210[[#This Row],[Entfernung (km) einfach]]&lt;500),Tabelle210[[#This Row],[Entfernung (km) gesamt]]), 0)*Tabelle210[[#This Row],[Anzahl Studierende ]]</f>
        <v>0</v>
      </c>
      <c r="O37">
        <f>IF(Tabelle210[[#This Row],[Verkehrsmittel]]="Flug", IF(AND(Tabelle210[[#This Row],[Entfernung (km) einfach]]&gt;500,Tabelle210[[#This Row],[Entfernung (km) einfach]]&lt;1000),Tabelle210[[#This Row],[Entfernung (km) gesamt]], 0), 0)*Tabelle210[[#This Row],[Anzahl Studierende ]]</f>
        <v>0</v>
      </c>
      <c r="P37">
        <f>IF(Tabelle210[[#This Row],[Verkehrsmittel]]="Flug", IF(AND(Tabelle210[[#This Row],[Entfernung (km) einfach]]&gt;1000,Tabelle210[[#This Row],[Entfernung (km) einfach]]&lt;2000),Tabelle210[[#This Row],[Entfernung (km) gesamt]], 0), 0)*Tabelle210[[#This Row],[Anzahl Studierende ]]</f>
        <v>0</v>
      </c>
      <c r="Q37">
        <f>IF(Tabelle210[[#This Row],[Verkehrsmittel]]="Flug", IF(AND(Tabelle210[[#This Row],[Entfernung (km) einfach]]&gt;2000,Tabelle210[[#This Row],[Entfernung (km) einfach]]&lt;5000),Tabelle210[[#This Row],[Entfernung (km) gesamt]], 0), 0)*Tabelle210[[#This Row],[Anzahl Studierende ]]</f>
        <v>0</v>
      </c>
      <c r="R37">
        <f>IF(Tabelle210[[#This Row],[Verkehrsmittel]]="Flug", IF(AND(Tabelle210[[#This Row],[Entfernung (km) einfach]]&gt;5000,Tabelle210[[#This Row],[Entfernung (km) einfach]]&lt;10000),Tabelle210[[#This Row],[Entfernung (km) gesamt]], 0), 0)*Tabelle210[[#This Row],[Anzahl Studierende ]]</f>
        <v>0</v>
      </c>
      <c r="S37">
        <f>IF(Tabelle210[[#This Row],[Verkehrsmittel]]="Flug", IF(AND(Tabelle210[[#This Row],[Entfernung (km) einfach]]&gt;10000),Tabelle210[[#This Row],[Entfernung (km) gesamt]]), 0)*Tabelle210[[#This Row],[Anzahl Studierende ]]</f>
        <v>0</v>
      </c>
      <c r="T37">
        <f>IF(Tabelle210[[#This Row],[Verkehrsmittel]]="Motorrad",Tabelle210[[#This Row],[Entfernung (km) gesamt]],0)*Tabelle210[[#This Row],[Anzahl Studierende ]]</f>
        <v>0</v>
      </c>
      <c r="U37">
        <f>IF(Tabelle210[[#This Row],[Verkehrsmittel]]="Straßen-, S-, U-Bahn",Tabelle210[[#This Row],[Entfernung (km) gesamt]],0)*Tabelle210[[#This Row],[Anzahl Studierende ]]</f>
        <v>0</v>
      </c>
      <c r="V37">
        <f>IF(Tabelle210[[#This Row],[Verkehrsmittel]]="Fahrrad",Tabelle210[[#This Row],[Entfernung (km) gesamt]],0)*Tabelle210[[#This Row],[Anzahl Studierende ]]</f>
        <v>0</v>
      </c>
    </row>
    <row r="38" spans="2:22">
      <c r="B38" s="138"/>
      <c r="C38" s="139"/>
      <c r="D38" s="160"/>
      <c r="E38" s="111"/>
      <c r="F38" s="111"/>
      <c r="G38" s="111"/>
      <c r="H38" s="117">
        <f>Tabelle210[[#This Row],[Entfernung (km) einfach]]*2</f>
        <v>0</v>
      </c>
      <c r="I38" s="111"/>
      <c r="J38" s="140"/>
      <c r="K38">
        <f>IF(Tabelle210[[#This Row],[Verkehrsmittel]]="Bus",Tabelle210[[#This Row],[Entfernung (km) gesamt]],0)*Tabelle210[[#This Row],[Anzahl Studierende ]]</f>
        <v>0</v>
      </c>
      <c r="L38">
        <f>IF(Tabelle210[[#This Row],[Verkehrsmittel]]="Bahn",Tabelle210[[#This Row],[Anzahl Studierende ]]*Tabelle210[[#This Row],[Entfernung (km) gesamt]],0)</f>
        <v>0</v>
      </c>
      <c r="M38">
        <f>IF(Tabelle210[[#This Row],[Verkehrsmittel]]="PKW",Tabelle210[[#This Row],[Anzahl Studierende ]]*Tabelle210[[#This Row],[Entfernung (km) gesamt]],0)</f>
        <v>0</v>
      </c>
      <c r="N38" s="13">
        <f>IF(Tabelle210[[#This Row],[Verkehrsmittel]]="Flug", IF(AND(Tabelle210[[#This Row],[Entfernung (km) einfach]]&lt;500),Tabelle210[[#This Row],[Entfernung (km) gesamt]]), 0)*Tabelle210[[#This Row],[Anzahl Studierende ]]</f>
        <v>0</v>
      </c>
      <c r="O38">
        <f>IF(Tabelle210[[#This Row],[Verkehrsmittel]]="Flug", IF(AND(Tabelle210[[#This Row],[Entfernung (km) einfach]]&gt;500,Tabelle210[[#This Row],[Entfernung (km) einfach]]&lt;1000),Tabelle210[[#This Row],[Entfernung (km) gesamt]], 0), 0)*Tabelle210[[#This Row],[Anzahl Studierende ]]</f>
        <v>0</v>
      </c>
      <c r="P38">
        <f>IF(Tabelle210[[#This Row],[Verkehrsmittel]]="Flug", IF(AND(Tabelle210[[#This Row],[Entfernung (km) einfach]]&gt;1000,Tabelle210[[#This Row],[Entfernung (km) einfach]]&lt;2000),Tabelle210[[#This Row],[Entfernung (km) gesamt]], 0), 0)*Tabelle210[[#This Row],[Anzahl Studierende ]]</f>
        <v>0</v>
      </c>
      <c r="Q38">
        <f>IF(Tabelle210[[#This Row],[Verkehrsmittel]]="Flug", IF(AND(Tabelle210[[#This Row],[Entfernung (km) einfach]]&gt;2000,Tabelle210[[#This Row],[Entfernung (km) einfach]]&lt;5000),Tabelle210[[#This Row],[Entfernung (km) gesamt]], 0), 0)*Tabelle210[[#This Row],[Anzahl Studierende ]]</f>
        <v>0</v>
      </c>
      <c r="R38">
        <f>IF(Tabelle210[[#This Row],[Verkehrsmittel]]="Flug", IF(AND(Tabelle210[[#This Row],[Entfernung (km) einfach]]&gt;5000,Tabelle210[[#This Row],[Entfernung (km) einfach]]&lt;10000),Tabelle210[[#This Row],[Entfernung (km) gesamt]], 0), 0)*Tabelle210[[#This Row],[Anzahl Studierende ]]</f>
        <v>0</v>
      </c>
      <c r="S38">
        <f>IF(Tabelle210[[#This Row],[Verkehrsmittel]]="Flug", IF(AND(Tabelle210[[#This Row],[Entfernung (km) einfach]]&gt;10000),Tabelle210[[#This Row],[Entfernung (km) gesamt]]), 0)*Tabelle210[[#This Row],[Anzahl Studierende ]]</f>
        <v>0</v>
      </c>
      <c r="T38">
        <f>IF(Tabelle210[[#This Row],[Verkehrsmittel]]="Motorrad",Tabelle210[[#This Row],[Entfernung (km) gesamt]],0)*Tabelle210[[#This Row],[Anzahl Studierende ]]</f>
        <v>0</v>
      </c>
      <c r="U38">
        <f>IF(Tabelle210[[#This Row],[Verkehrsmittel]]="Straßen-, S-, U-Bahn",Tabelle210[[#This Row],[Entfernung (km) gesamt]],0)*Tabelle210[[#This Row],[Anzahl Studierende ]]</f>
        <v>0</v>
      </c>
      <c r="V38">
        <f>IF(Tabelle210[[#This Row],[Verkehrsmittel]]="Fahrrad",Tabelle210[[#This Row],[Entfernung (km) gesamt]],0)*Tabelle210[[#This Row],[Anzahl Studierende ]]</f>
        <v>0</v>
      </c>
    </row>
    <row r="39" spans="2:22" ht="14.4" thickBot="1">
      <c r="B39" s="141"/>
      <c r="C39" s="142"/>
      <c r="D39" s="162"/>
      <c r="E39" s="122"/>
      <c r="F39" s="122"/>
      <c r="G39" s="122"/>
      <c r="H39" s="143">
        <f>Tabelle210[[#This Row],[Entfernung (km) einfach]]*2</f>
        <v>0</v>
      </c>
      <c r="I39" s="122"/>
      <c r="J39" s="144"/>
      <c r="K39">
        <f>IF(Tabelle210[[#This Row],[Verkehrsmittel]]="Bus",Tabelle210[[#This Row],[Entfernung (km) gesamt]],0)*Tabelle210[[#This Row],[Anzahl Studierende ]]</f>
        <v>0</v>
      </c>
      <c r="L39">
        <f>IF(Tabelle210[[#This Row],[Verkehrsmittel]]="Bahn",Tabelle210[[#This Row],[Anzahl Studierende ]]*Tabelle210[[#This Row],[Entfernung (km) gesamt]],0)</f>
        <v>0</v>
      </c>
      <c r="M39">
        <f>IF(Tabelle210[[#This Row],[Verkehrsmittel]]="PKW",Tabelle210[[#This Row],[Anzahl Studierende ]]*Tabelle210[[#This Row],[Entfernung (km) gesamt]],0)</f>
        <v>0</v>
      </c>
      <c r="N39" s="13">
        <f>IF(Tabelle210[[#This Row],[Verkehrsmittel]]="Flug", IF(AND(Tabelle210[[#This Row],[Entfernung (km) einfach]]&lt;500),Tabelle210[[#This Row],[Entfernung (km) gesamt]]), 0)*Tabelle210[[#This Row],[Anzahl Studierende ]]</f>
        <v>0</v>
      </c>
      <c r="O39">
        <f>IF(Tabelle210[[#This Row],[Verkehrsmittel]]="Flug", IF(AND(Tabelle210[[#This Row],[Entfernung (km) einfach]]&gt;500,Tabelle210[[#This Row],[Entfernung (km) einfach]]&lt;1000),Tabelle210[[#This Row],[Entfernung (km) gesamt]], 0), 0)*Tabelle210[[#This Row],[Anzahl Studierende ]]</f>
        <v>0</v>
      </c>
      <c r="P39">
        <f>IF(Tabelle210[[#This Row],[Verkehrsmittel]]="Flug", IF(AND(Tabelle210[[#This Row],[Entfernung (km) einfach]]&gt;1000,Tabelle210[[#This Row],[Entfernung (km) einfach]]&lt;2000),Tabelle210[[#This Row],[Entfernung (km) gesamt]], 0), 0)*Tabelle210[[#This Row],[Anzahl Studierende ]]</f>
        <v>0</v>
      </c>
      <c r="Q39">
        <f>IF(Tabelle210[[#This Row],[Verkehrsmittel]]="Flug", IF(AND(Tabelle210[[#This Row],[Entfernung (km) einfach]]&gt;2000,Tabelle210[[#This Row],[Entfernung (km) einfach]]&lt;5000),Tabelle210[[#This Row],[Entfernung (km) gesamt]], 0), 0)*Tabelle210[[#This Row],[Anzahl Studierende ]]</f>
        <v>0</v>
      </c>
      <c r="R39">
        <f>IF(Tabelle210[[#This Row],[Verkehrsmittel]]="Flug", IF(AND(Tabelle210[[#This Row],[Entfernung (km) einfach]]&gt;5000,Tabelle210[[#This Row],[Entfernung (km) einfach]]&lt;10000),Tabelle210[[#This Row],[Entfernung (km) gesamt]], 0), 0)*Tabelle210[[#This Row],[Anzahl Studierende ]]</f>
        <v>0</v>
      </c>
      <c r="S39">
        <f>IF(Tabelle210[[#This Row],[Verkehrsmittel]]="Flug", IF(AND(Tabelle210[[#This Row],[Entfernung (km) einfach]]&gt;10000),Tabelle210[[#This Row],[Entfernung (km) gesamt]]), 0)*Tabelle210[[#This Row],[Anzahl Studierende ]]</f>
        <v>0</v>
      </c>
      <c r="T39">
        <f>IF(Tabelle210[[#This Row],[Verkehrsmittel]]="Motorrad",Tabelle210[[#This Row],[Entfernung (km) gesamt]],0)*Tabelle210[[#This Row],[Anzahl Studierende ]]</f>
        <v>0</v>
      </c>
      <c r="U39">
        <f>IF(Tabelle210[[#This Row],[Verkehrsmittel]]="Straßen-, S-, U-Bahn",Tabelle210[[#This Row],[Entfernung (km) gesamt]],0)*Tabelle210[[#This Row],[Anzahl Studierende ]]</f>
        <v>0</v>
      </c>
      <c r="V39">
        <f>IF(Tabelle210[[#This Row],[Verkehrsmittel]]="Fahrrad",Tabelle210[[#This Row],[Entfernung (km) gesamt]],0)*Tabelle210[[#This Row],[Anzahl Studierende ]]</f>
        <v>0</v>
      </c>
    </row>
    <row r="40" spans="2:22" ht="14.4" thickBot="1">
      <c r="B40" s="163"/>
      <c r="C40" s="164"/>
      <c r="D40" s="165"/>
      <c r="E40" s="164"/>
      <c r="F40" s="164"/>
      <c r="G40" s="164"/>
      <c r="H40" s="164"/>
      <c r="I40" s="164"/>
      <c r="J40" s="166"/>
      <c r="K40">
        <f>SUM(Tabelle210[Km Bus])</f>
        <v>0</v>
      </c>
      <c r="L40">
        <f>SUM(Tabelle210[Km Bahn])</f>
        <v>0</v>
      </c>
      <c r="M40">
        <f>SUM(Tabelle210[Km PKW])</f>
        <v>0</v>
      </c>
      <c r="N40">
        <f>SUM(Tabelle210[Flug bis 500])</f>
        <v>0</v>
      </c>
      <c r="O40">
        <f>SUM(Tabelle210[Flug 500 - 1000 km])</f>
        <v>0</v>
      </c>
      <c r="P40">
        <f>SUM(Tabelle210[Flug 1000 - 2000])</f>
        <v>0</v>
      </c>
      <c r="Q40">
        <f>SUM(Tabelle210[Flug 2000 - 5000])</f>
        <v>0</v>
      </c>
      <c r="R40">
        <f>SUM(Tabelle210[Flug 5000 - 10000])</f>
        <v>0</v>
      </c>
      <c r="S40">
        <f>SUM(Tabelle210[Flug über 10000])</f>
        <v>0</v>
      </c>
      <c r="T40">
        <f>SUM(Tabelle210[Motorrad])</f>
        <v>0</v>
      </c>
      <c r="U40">
        <f>SUM(Tabelle210[Straßen-, S-, U-Bahn])</f>
        <v>0</v>
      </c>
      <c r="V40">
        <f>SUM(Tabelle210[Fahrrad])</f>
        <v>0</v>
      </c>
    </row>
  </sheetData>
  <sheetProtection algorithmName="SHA-512" hashValue="8YcGoMCPnpyXnTKhOfeFqaslNUle+sl69z6f22meBoeIJODhfDljWuywW2REFNvI3EZlgksq5LO7oR8PLeOjpQ==" saltValue="6jc1n3UlwjARjGj6ha0L0Q==" spinCount="100000" sheet="1" objects="1" formatCells="0" formatColumns="0" formatRows="0" insertColumns="0" insertRows="0" insertHyperlinks="0" deleteColumns="0" deleteRows="0" sort="0" autoFilter="0" pivotTables="0"/>
  <mergeCells count="2">
    <mergeCell ref="B5:C5"/>
    <mergeCell ref="F2:G5"/>
  </mergeCells>
  <phoneticPr fontId="3" type="noConversion"/>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Hilfstabelle!$A$1:$A$8</xm:f>
          </x14:formula1>
          <xm:sqref>I8:I39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Auswertung</vt:lpstr>
      <vt:lpstr>Fakultät 1</vt:lpstr>
      <vt:lpstr>Fakultät 2</vt:lpstr>
      <vt:lpstr>Fakultät 3</vt:lpstr>
      <vt:lpstr>Fakultät 4</vt:lpstr>
      <vt:lpstr>Fakultät 5</vt:lpstr>
      <vt:lpstr>Fakultät 6</vt:lpstr>
      <vt:lpstr>Fakultät 7</vt:lpstr>
      <vt:lpstr>Fakultät 8</vt:lpstr>
      <vt:lpstr>Fakultät 9</vt:lpstr>
      <vt:lpstr>Fakultät 10</vt:lpstr>
      <vt:lpstr>Fakultät 11</vt:lpstr>
      <vt:lpstr>Hilfstabelle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Kömm, Kristin</dc:creator>
  <cp:lastModifiedBy>Dekkers, Niklas</cp:lastModifiedBy>
  <dcterms:created xsi:type="dcterms:W3CDTF">2025-01-29T08:16:52Z</dcterms:created>
  <dcterms:modified xsi:type="dcterms:W3CDTF">2025-11-14T14:01:52Z</dcterms:modified>
</cp:coreProperties>
</file>